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Vitali\Desktop\"/>
    </mc:Choice>
  </mc:AlternateContent>
  <xr:revisionPtr revIDLastSave="0" documentId="13_ncr:1_{CA0A889B-ED06-4590-80C7-86B8B4F0F5C7}" xr6:coauthVersionLast="46" xr6:coauthVersionMax="46" xr10:uidLastSave="{00000000-0000-0000-0000-000000000000}"/>
  <bookViews>
    <workbookView xWindow="15915" yWindow="1815" windowWidth="20010" windowHeight="18240" xr2:uid="{00000000-000D-0000-FFFF-FFFF00000000}"/>
  </bookViews>
  <sheets>
    <sheet name="Калькулятор 12-48 мес" sheetId="1" r:id="rId1"/>
    <sheet name="Лист1" sheetId="2" state="hidden" r:id="rId2"/>
    <sheet name="12 мес" sheetId="3" state="hidden" r:id="rId3"/>
    <sheet name="12 мес (аннуитет)" sheetId="4" state="hidden" r:id="rId4"/>
    <sheet name="18 мес" sheetId="5" state="hidden" r:id="rId5"/>
    <sheet name="18 мес (аннуитет)" sheetId="6" state="hidden" r:id="rId6"/>
    <sheet name="24 мес" sheetId="7" state="hidden" r:id="rId7"/>
    <sheet name="24 мес (аннуитет)" sheetId="8" state="hidden" r:id="rId8"/>
    <sheet name="36 мес" sheetId="9" state="hidden" r:id="rId9"/>
    <sheet name="36 мес (аннуитет)" sheetId="10" state="hidden" r:id="rId10"/>
    <sheet name="48 мес " sheetId="11" state="hidden" r:id="rId11"/>
    <sheet name="48 мес  (аннуитет)" sheetId="12" state="hidden" r:id="rId12"/>
    <sheet name="12 мес Убывающий" sheetId="13" state="hidden" r:id="rId13"/>
    <sheet name="12 мес Аннуитет" sheetId="14" state="hidden" r:id="rId14"/>
    <sheet name="18 мес Убывающий" sheetId="15" state="hidden" r:id="rId15"/>
    <sheet name="18 мес Аннуитет" sheetId="16" state="hidden" r:id="rId16"/>
    <sheet name="24 мес Убывающий" sheetId="17" state="hidden" r:id="rId17"/>
    <sheet name="24 мес Аннуитет" sheetId="18" state="hidden" r:id="rId18"/>
    <sheet name="36 мес Убывающий" sheetId="19" state="hidden" r:id="rId19"/>
    <sheet name="36 мес Аннуитет" sheetId="20" state="hidden" r:id="rId20"/>
    <sheet name="Общие данные" sheetId="21" state="hidden" r:id="rId21"/>
    <sheet name="Аннуитет" sheetId="22" state="hidden" r:id="rId22"/>
  </sheets>
  <externalReferences>
    <externalReference r:id="rId23"/>
  </externalReferences>
  <definedNames>
    <definedName name="_xlnm._FilterDatabase" localSheetId="21" hidden="1">Аннуитет!$A$22:$I$145</definedName>
    <definedName name="Z_4FD4D669_5262_4565_BCD1_D4FF0E82C289_.wvu.Cols" localSheetId="21" hidden="1">Аннуитет!$D:$D</definedName>
    <definedName name="Z_4FD4D669_5262_4565_BCD1_D4FF0E82C289_.wvu.Cols" localSheetId="0" hidden="1">'Калькулятор 12-48 мес'!$G:$H,'Калькулятор 12-48 мес'!$M:$N,'Калькулятор 12-48 мес'!$S:$T,'Калькулятор 12-48 мес'!$Y:$Z,'Калькулятор 12-48 мес'!$AC:$BB,'Калькулятор 12-48 мес'!$BE:$BH</definedName>
    <definedName name="Z_4FD4D669_5262_4565_BCD1_D4FF0E82C289_.wvu.FilterData" localSheetId="21" hidden="1">Аннуитет!$A$22:$I$145</definedName>
    <definedName name="Z_4FD4D669_5262_4565_BCD1_D4FF0E82C289_.wvu.PrintArea" localSheetId="0" hidden="1">'Калькулятор 12-48 мес'!$D$2:$AG$71</definedName>
    <definedName name="Z_4FD4D669_5262_4565_BCD1_D4FF0E82C289_.wvu.Rows" localSheetId="21" hidden="1">Аннуитет!$14:$21,Аннуитет!$37:$143</definedName>
    <definedName name="Z_4FD4D669_5262_4565_BCD1_D4FF0E82C289_.wvu.Rows" localSheetId="0" hidden="1">'Калькулятор 12-48 мес'!$12:$16</definedName>
    <definedName name="Z_6A7CF0CA_6DD1_4171_A40E_8A04F3C36C82_.wvu.Cols" localSheetId="21" hidden="1">Аннуитет!$D:$D</definedName>
    <definedName name="Z_6A7CF0CA_6DD1_4171_A40E_8A04F3C36C82_.wvu.Cols" localSheetId="0" hidden="1">'Калькулятор 12-48 мес'!$G:$H,'Калькулятор 12-48 мес'!$M:$N,'Калькулятор 12-48 мес'!$S:$T,'Калькулятор 12-48 мес'!$Y:$Z,'Калькулятор 12-48 мес'!$AC:$BB,'Калькулятор 12-48 мес'!$BE:$BH</definedName>
    <definedName name="Z_6A7CF0CA_6DD1_4171_A40E_8A04F3C36C82_.wvu.FilterData" localSheetId="21" hidden="1">Аннуитет!$A$22:$I$145</definedName>
    <definedName name="Z_6A7CF0CA_6DD1_4171_A40E_8A04F3C36C82_.wvu.PrintArea" localSheetId="0" hidden="1">'Калькулятор 12-48 мес'!$D$2:$AG$71</definedName>
    <definedName name="Z_6A7CF0CA_6DD1_4171_A40E_8A04F3C36C82_.wvu.Rows" localSheetId="21" hidden="1">Аннуитет!$14:$21,Аннуитет!$37:$143</definedName>
    <definedName name="Z_6A7CF0CA_6DD1_4171_A40E_8A04F3C36C82_.wvu.Rows" localSheetId="0" hidden="1">'Калькулятор 12-48 мес'!$12:$16</definedName>
    <definedName name="_xlnm.Print_Area" localSheetId="0">'Калькулятор 12-48 мес'!$D$2:$AG$71</definedName>
    <definedName name="пол">[1]СОГЛАСИЕ!$H$9:$H$10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2" l="1"/>
  <c r="E18" i="22"/>
  <c r="E17" i="22"/>
  <c r="E15" i="22"/>
  <c r="F12" i="22"/>
  <c r="E12" i="22"/>
  <c r="G145" i="22" s="1"/>
  <c r="F11" i="22"/>
  <c r="E8" i="22"/>
  <c r="E5" i="22"/>
  <c r="I1" i="22"/>
  <c r="B17" i="21"/>
  <c r="B18" i="21" s="1"/>
  <c r="B16" i="21"/>
  <c r="B13" i="21"/>
  <c r="B10" i="21"/>
  <c r="B6" i="21"/>
  <c r="B4" i="21"/>
  <c r="A3" i="22" s="1"/>
  <c r="B17" i="20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16" i="20"/>
  <c r="E11" i="20"/>
  <c r="B17" i="19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16" i="19"/>
  <c r="E11" i="19"/>
  <c r="B27" i="18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21" i="18"/>
  <c r="B22" i="18" s="1"/>
  <c r="B23" i="18" s="1"/>
  <c r="B24" i="18" s="1"/>
  <c r="B25" i="18" s="1"/>
  <c r="B26" i="18" s="1"/>
  <c r="B18" i="18"/>
  <c r="B19" i="18" s="1"/>
  <c r="B20" i="18" s="1"/>
  <c r="B16" i="18"/>
  <c r="B17" i="18" s="1"/>
  <c r="E11" i="18"/>
  <c r="B17" i="17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B16" i="17"/>
  <c r="E11" i="17"/>
  <c r="B26" i="16"/>
  <c r="B27" i="16" s="1"/>
  <c r="B28" i="16" s="1"/>
  <c r="B29" i="16" s="1"/>
  <c r="B30" i="16" s="1"/>
  <c r="B31" i="16" s="1"/>
  <c r="B32" i="16" s="1"/>
  <c r="B33" i="16" s="1"/>
  <c r="B21" i="16"/>
  <c r="B22" i="16" s="1"/>
  <c r="B23" i="16" s="1"/>
  <c r="B24" i="16" s="1"/>
  <c r="B25" i="16" s="1"/>
  <c r="B19" i="16"/>
  <c r="B20" i="16" s="1"/>
  <c r="B16" i="16"/>
  <c r="B17" i="16" s="1"/>
  <c r="B18" i="16" s="1"/>
  <c r="E11" i="16"/>
  <c r="B27" i="15"/>
  <c r="B28" i="15" s="1"/>
  <c r="B29" i="15" s="1"/>
  <c r="B30" i="15" s="1"/>
  <c r="B31" i="15" s="1"/>
  <c r="B32" i="15" s="1"/>
  <c r="B33" i="15" s="1"/>
  <c r="B18" i="15"/>
  <c r="B19" i="15" s="1"/>
  <c r="B20" i="15" s="1"/>
  <c r="B21" i="15" s="1"/>
  <c r="B22" i="15" s="1"/>
  <c r="B23" i="15" s="1"/>
  <c r="B24" i="15" s="1"/>
  <c r="B25" i="15" s="1"/>
  <c r="B26" i="15" s="1"/>
  <c r="B16" i="15"/>
  <c r="B17" i="15" s="1"/>
  <c r="E11" i="15"/>
  <c r="B19" i="14"/>
  <c r="B20" i="14" s="1"/>
  <c r="B21" i="14" s="1"/>
  <c r="B22" i="14" s="1"/>
  <c r="B23" i="14" s="1"/>
  <c r="B24" i="14" s="1"/>
  <c r="B25" i="14" s="1"/>
  <c r="B26" i="14" s="1"/>
  <c r="B27" i="14" s="1"/>
  <c r="B17" i="14"/>
  <c r="B18" i="14" s="1"/>
  <c r="B16" i="14"/>
  <c r="E11" i="14"/>
  <c r="B16" i="13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E11" i="13"/>
  <c r="G105" i="12"/>
  <c r="F105" i="12"/>
  <c r="D105" i="12"/>
  <c r="E105" i="12" s="1"/>
  <c r="C105" i="12"/>
  <c r="I104" i="12"/>
  <c r="F104" i="12"/>
  <c r="G104" i="12" s="1"/>
  <c r="D104" i="12"/>
  <c r="E104" i="12" s="1"/>
  <c r="C104" i="12"/>
  <c r="I103" i="12"/>
  <c r="F103" i="12"/>
  <c r="G103" i="12" s="1"/>
  <c r="D103" i="12"/>
  <c r="E103" i="12" s="1"/>
  <c r="C103" i="12"/>
  <c r="F102" i="12"/>
  <c r="G102" i="12" s="1"/>
  <c r="E102" i="12"/>
  <c r="D102" i="12"/>
  <c r="C102" i="12"/>
  <c r="M101" i="12"/>
  <c r="I101" i="12"/>
  <c r="F101" i="12"/>
  <c r="G101" i="12" s="1"/>
  <c r="D101" i="12"/>
  <c r="E101" i="12" s="1"/>
  <c r="H101" i="12" s="1"/>
  <c r="C101" i="12"/>
  <c r="I100" i="12"/>
  <c r="G100" i="12"/>
  <c r="F100" i="12"/>
  <c r="E100" i="12"/>
  <c r="D100" i="12"/>
  <c r="M100" i="12" s="1"/>
  <c r="C100" i="12"/>
  <c r="F99" i="12"/>
  <c r="G99" i="12" s="1"/>
  <c r="M99" i="12" s="1"/>
  <c r="D99" i="12"/>
  <c r="C99" i="12"/>
  <c r="M98" i="12"/>
  <c r="I98" i="12"/>
  <c r="F98" i="12"/>
  <c r="G98" i="12" s="1"/>
  <c r="D98" i="12"/>
  <c r="C98" i="12"/>
  <c r="G97" i="12"/>
  <c r="F97" i="12"/>
  <c r="E97" i="12"/>
  <c r="D97" i="12"/>
  <c r="C97" i="12"/>
  <c r="M96" i="12"/>
  <c r="I96" i="12"/>
  <c r="F96" i="12"/>
  <c r="G96" i="12" s="1"/>
  <c r="D96" i="12"/>
  <c r="C96" i="12"/>
  <c r="I95" i="12"/>
  <c r="G95" i="12"/>
  <c r="F95" i="12"/>
  <c r="E95" i="12"/>
  <c r="D95" i="12"/>
  <c r="C95" i="12"/>
  <c r="G94" i="12"/>
  <c r="F94" i="12"/>
  <c r="E94" i="12"/>
  <c r="D94" i="12"/>
  <c r="C94" i="12"/>
  <c r="I93" i="12"/>
  <c r="G93" i="12"/>
  <c r="F93" i="12"/>
  <c r="D93" i="12"/>
  <c r="C93" i="12"/>
  <c r="I92" i="12"/>
  <c r="G92" i="12"/>
  <c r="F92" i="12"/>
  <c r="E92" i="12"/>
  <c r="D92" i="12"/>
  <c r="M92" i="12" s="1"/>
  <c r="C92" i="12"/>
  <c r="F91" i="12"/>
  <c r="G91" i="12" s="1"/>
  <c r="E91" i="12"/>
  <c r="D91" i="12"/>
  <c r="C91" i="12"/>
  <c r="I91" i="12" s="1"/>
  <c r="M90" i="12"/>
  <c r="I90" i="12"/>
  <c r="F90" i="12"/>
  <c r="G90" i="12" s="1"/>
  <c r="E90" i="12"/>
  <c r="H90" i="12" s="1"/>
  <c r="D90" i="12"/>
  <c r="C90" i="12"/>
  <c r="G89" i="12"/>
  <c r="F89" i="12"/>
  <c r="E89" i="12"/>
  <c r="D89" i="12"/>
  <c r="C89" i="12"/>
  <c r="I88" i="12"/>
  <c r="F88" i="12"/>
  <c r="G88" i="12" s="1"/>
  <c r="D88" i="12"/>
  <c r="C88" i="12"/>
  <c r="I87" i="12"/>
  <c r="G87" i="12"/>
  <c r="G19" i="12" s="1"/>
  <c r="F87" i="12"/>
  <c r="E87" i="12"/>
  <c r="D87" i="12"/>
  <c r="C87" i="12"/>
  <c r="G86" i="12"/>
  <c r="F86" i="12"/>
  <c r="E86" i="12"/>
  <c r="D86" i="12"/>
  <c r="C86" i="12"/>
  <c r="I85" i="12"/>
  <c r="G85" i="12"/>
  <c r="F85" i="12"/>
  <c r="D85" i="12"/>
  <c r="C85" i="12"/>
  <c r="G84" i="12"/>
  <c r="F84" i="12"/>
  <c r="E84" i="12"/>
  <c r="D84" i="12"/>
  <c r="C84" i="12"/>
  <c r="F83" i="12"/>
  <c r="G83" i="12" s="1"/>
  <c r="E83" i="12"/>
  <c r="D83" i="12"/>
  <c r="C83" i="12"/>
  <c r="I83" i="12" s="1"/>
  <c r="I82" i="12"/>
  <c r="F82" i="12"/>
  <c r="G82" i="12" s="1"/>
  <c r="E82" i="12"/>
  <c r="D82" i="12"/>
  <c r="C82" i="12"/>
  <c r="I81" i="12"/>
  <c r="F81" i="12"/>
  <c r="D81" i="12"/>
  <c r="M81" i="12" s="1"/>
  <c r="C81" i="12"/>
  <c r="F80" i="12"/>
  <c r="D80" i="12"/>
  <c r="F79" i="12"/>
  <c r="E79" i="12"/>
  <c r="D79" i="12"/>
  <c r="C79" i="12" s="1"/>
  <c r="F78" i="12"/>
  <c r="D78" i="12"/>
  <c r="H77" i="12"/>
  <c r="F77" i="12"/>
  <c r="E77" i="12"/>
  <c r="D77" i="12"/>
  <c r="C77" i="12" s="1"/>
  <c r="I76" i="12"/>
  <c r="F76" i="12"/>
  <c r="E76" i="12"/>
  <c r="C76" i="12" s="1"/>
  <c r="D76" i="12"/>
  <c r="F75" i="12"/>
  <c r="E75" i="12"/>
  <c r="C75" i="12" s="1"/>
  <c r="D75" i="12"/>
  <c r="H74" i="12"/>
  <c r="F74" i="12"/>
  <c r="E74" i="12"/>
  <c r="D74" i="12"/>
  <c r="C74" i="12" s="1"/>
  <c r="H73" i="12"/>
  <c r="F73" i="12"/>
  <c r="E73" i="12"/>
  <c r="C73" i="12" s="1"/>
  <c r="I73" i="12" s="1"/>
  <c r="D73" i="12"/>
  <c r="F72" i="12"/>
  <c r="E72" i="12"/>
  <c r="C72" i="12" s="1"/>
  <c r="D72" i="12"/>
  <c r="M71" i="12"/>
  <c r="H71" i="12"/>
  <c r="F71" i="12"/>
  <c r="E71" i="12"/>
  <c r="C71" i="12" s="1"/>
  <c r="I71" i="12" s="1"/>
  <c r="D71" i="12"/>
  <c r="F70" i="12"/>
  <c r="E70" i="12"/>
  <c r="C70" i="12" s="1"/>
  <c r="D70" i="12"/>
  <c r="F69" i="12"/>
  <c r="F68" i="12"/>
  <c r="E68" i="12"/>
  <c r="F67" i="12"/>
  <c r="F66" i="12"/>
  <c r="F65" i="12"/>
  <c r="E65" i="12"/>
  <c r="F64" i="12"/>
  <c r="E64" i="12"/>
  <c r="F63" i="12"/>
  <c r="E63" i="12"/>
  <c r="F62" i="12"/>
  <c r="E62" i="12"/>
  <c r="F61" i="12"/>
  <c r="E61" i="12"/>
  <c r="F60" i="12"/>
  <c r="E60" i="12"/>
  <c r="F59" i="12"/>
  <c r="E59" i="12"/>
  <c r="F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B44" i="12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F19" i="12" s="1"/>
  <c r="E22" i="12"/>
  <c r="B22" i="12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A22" i="12"/>
  <c r="A19" i="12" s="1"/>
  <c r="B19" i="12" s="1"/>
  <c r="R18" i="12"/>
  <c r="R13" i="12"/>
  <c r="Q13" i="12"/>
  <c r="Q14" i="12" s="1"/>
  <c r="R10" i="12"/>
  <c r="Q10" i="12"/>
  <c r="R9" i="12"/>
  <c r="Q9" i="12"/>
  <c r="R8" i="12"/>
  <c r="Q8" i="12"/>
  <c r="R7" i="12"/>
  <c r="F105" i="11"/>
  <c r="G105" i="11" s="1"/>
  <c r="E105" i="11"/>
  <c r="D105" i="11"/>
  <c r="C105" i="11"/>
  <c r="I104" i="11"/>
  <c r="F104" i="11"/>
  <c r="G104" i="11" s="1"/>
  <c r="D104" i="11"/>
  <c r="C104" i="11"/>
  <c r="I103" i="11"/>
  <c r="F103" i="11"/>
  <c r="G103" i="11" s="1"/>
  <c r="D103" i="11"/>
  <c r="C103" i="11"/>
  <c r="I102" i="11"/>
  <c r="G102" i="11"/>
  <c r="F102" i="11"/>
  <c r="D102" i="11"/>
  <c r="E102" i="11" s="1"/>
  <c r="C102" i="11"/>
  <c r="F101" i="11"/>
  <c r="G101" i="11" s="1"/>
  <c r="D101" i="11"/>
  <c r="E101" i="11" s="1"/>
  <c r="C101" i="11"/>
  <c r="G100" i="11"/>
  <c r="F100" i="11"/>
  <c r="E100" i="11"/>
  <c r="D100" i="11"/>
  <c r="C100" i="11"/>
  <c r="M100" i="11" s="1"/>
  <c r="G99" i="11"/>
  <c r="M99" i="11" s="1"/>
  <c r="F99" i="11"/>
  <c r="D99" i="11"/>
  <c r="C99" i="11"/>
  <c r="I98" i="11"/>
  <c r="G98" i="11"/>
  <c r="M98" i="11" s="1"/>
  <c r="F98" i="11"/>
  <c r="D98" i="11"/>
  <c r="C98" i="11"/>
  <c r="I97" i="11"/>
  <c r="F97" i="11"/>
  <c r="G97" i="11" s="1"/>
  <c r="M97" i="11" s="1"/>
  <c r="D97" i="11"/>
  <c r="C97" i="11"/>
  <c r="F96" i="11"/>
  <c r="G96" i="11" s="1"/>
  <c r="D96" i="11"/>
  <c r="C96" i="11"/>
  <c r="I95" i="11"/>
  <c r="G95" i="11"/>
  <c r="F95" i="11"/>
  <c r="E95" i="11"/>
  <c r="D95" i="11"/>
  <c r="M95" i="11" s="1"/>
  <c r="C95" i="11"/>
  <c r="G94" i="11"/>
  <c r="F94" i="11"/>
  <c r="E94" i="11"/>
  <c r="D94" i="11"/>
  <c r="C94" i="11"/>
  <c r="I93" i="11"/>
  <c r="F93" i="11"/>
  <c r="G93" i="11" s="1"/>
  <c r="D93" i="11"/>
  <c r="C93" i="11"/>
  <c r="I92" i="11"/>
  <c r="F92" i="11"/>
  <c r="G92" i="11" s="1"/>
  <c r="M92" i="11" s="1"/>
  <c r="E92" i="11"/>
  <c r="H92" i="11" s="1"/>
  <c r="D92" i="11"/>
  <c r="C92" i="11"/>
  <c r="G91" i="11"/>
  <c r="F91" i="11"/>
  <c r="E91" i="11"/>
  <c r="D91" i="11"/>
  <c r="C91" i="11"/>
  <c r="I90" i="11"/>
  <c r="F90" i="11"/>
  <c r="G90" i="11" s="1"/>
  <c r="D90" i="11"/>
  <c r="C90" i="11"/>
  <c r="F89" i="11"/>
  <c r="G89" i="11" s="1"/>
  <c r="E89" i="11"/>
  <c r="D89" i="11"/>
  <c r="C89" i="11"/>
  <c r="I88" i="11"/>
  <c r="F88" i="11"/>
  <c r="G88" i="11" s="1"/>
  <c r="D88" i="11"/>
  <c r="C88" i="11"/>
  <c r="I87" i="11"/>
  <c r="F87" i="11"/>
  <c r="G87" i="11" s="1"/>
  <c r="M87" i="11" s="1"/>
  <c r="D87" i="11"/>
  <c r="C87" i="11"/>
  <c r="G86" i="11"/>
  <c r="M86" i="11" s="1"/>
  <c r="F86" i="11"/>
  <c r="D86" i="11"/>
  <c r="C86" i="11"/>
  <c r="I86" i="11" s="1"/>
  <c r="M85" i="11"/>
  <c r="F85" i="11"/>
  <c r="G85" i="11" s="1"/>
  <c r="D85" i="11"/>
  <c r="C85" i="11"/>
  <c r="M84" i="11"/>
  <c r="G84" i="11"/>
  <c r="F84" i="11"/>
  <c r="D84" i="11"/>
  <c r="C84" i="11"/>
  <c r="I84" i="11" s="1"/>
  <c r="F83" i="11"/>
  <c r="G83" i="11" s="1"/>
  <c r="D83" i="11"/>
  <c r="C83" i="11"/>
  <c r="I82" i="11"/>
  <c r="G82" i="11"/>
  <c r="F82" i="11"/>
  <c r="D82" i="11"/>
  <c r="C82" i="11"/>
  <c r="F81" i="11"/>
  <c r="D81" i="11"/>
  <c r="C81" i="11"/>
  <c r="M80" i="11"/>
  <c r="I80" i="11"/>
  <c r="F80" i="11"/>
  <c r="D80" i="11"/>
  <c r="C80" i="11"/>
  <c r="M79" i="11"/>
  <c r="F79" i="11"/>
  <c r="D79" i="11"/>
  <c r="C79" i="11"/>
  <c r="I79" i="11" s="1"/>
  <c r="M78" i="11"/>
  <c r="I78" i="11"/>
  <c r="F78" i="11"/>
  <c r="D78" i="11"/>
  <c r="C78" i="11"/>
  <c r="F77" i="11"/>
  <c r="D77" i="11"/>
  <c r="C77" i="11"/>
  <c r="F76" i="11"/>
  <c r="D76" i="11"/>
  <c r="C76" i="11"/>
  <c r="M75" i="11"/>
  <c r="I75" i="11"/>
  <c r="F75" i="11"/>
  <c r="E75" i="11"/>
  <c r="D75" i="11"/>
  <c r="C75" i="11"/>
  <c r="I74" i="11"/>
  <c r="F74" i="11"/>
  <c r="D74" i="11"/>
  <c r="C74" i="11"/>
  <c r="I73" i="11"/>
  <c r="F73" i="11"/>
  <c r="D73" i="11"/>
  <c r="C73" i="11"/>
  <c r="M72" i="11"/>
  <c r="I72" i="11"/>
  <c r="F72" i="11"/>
  <c r="D72" i="11"/>
  <c r="C72" i="11"/>
  <c r="M71" i="11"/>
  <c r="I71" i="11"/>
  <c r="F71" i="11"/>
  <c r="D71" i="11"/>
  <c r="C71" i="11"/>
  <c r="M70" i="11"/>
  <c r="I70" i="11"/>
  <c r="F70" i="11"/>
  <c r="D70" i="11"/>
  <c r="C70" i="11"/>
  <c r="F69" i="11"/>
  <c r="F68" i="11"/>
  <c r="F67" i="11"/>
  <c r="F66" i="11"/>
  <c r="E66" i="11"/>
  <c r="F65" i="11"/>
  <c r="E65" i="11"/>
  <c r="F64" i="11"/>
  <c r="F63" i="11"/>
  <c r="F62" i="11"/>
  <c r="F61" i="11"/>
  <c r="F60" i="11"/>
  <c r="E60" i="11"/>
  <c r="F59" i="11"/>
  <c r="F58" i="11"/>
  <c r="F57" i="11"/>
  <c r="F56" i="11"/>
  <c r="F55" i="11"/>
  <c r="F54" i="11"/>
  <c r="F53" i="11"/>
  <c r="F52" i="11"/>
  <c r="E52" i="11"/>
  <c r="F51" i="11"/>
  <c r="F50" i="11"/>
  <c r="E50" i="11"/>
  <c r="F49" i="11"/>
  <c r="F48" i="11"/>
  <c r="F47" i="11"/>
  <c r="E47" i="11"/>
  <c r="F46" i="11"/>
  <c r="F45" i="11"/>
  <c r="E45" i="11"/>
  <c r="F44" i="11"/>
  <c r="F43" i="11"/>
  <c r="F42" i="11"/>
  <c r="F41" i="11"/>
  <c r="E41" i="11"/>
  <c r="F40" i="11"/>
  <c r="F39" i="11"/>
  <c r="B39" i="1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F38" i="11"/>
  <c r="E38" i="11"/>
  <c r="F37" i="11"/>
  <c r="F36" i="11"/>
  <c r="B36" i="11"/>
  <c r="B37" i="11" s="1"/>
  <c r="B38" i="11" s="1"/>
  <c r="F35" i="11"/>
  <c r="F34" i="11"/>
  <c r="F33" i="11"/>
  <c r="E33" i="11"/>
  <c r="F32" i="11"/>
  <c r="E32" i="11"/>
  <c r="B32" i="11"/>
  <c r="B33" i="11" s="1"/>
  <c r="B34" i="11" s="1"/>
  <c r="B35" i="11" s="1"/>
  <c r="F31" i="11"/>
  <c r="F30" i="11"/>
  <c r="E30" i="11"/>
  <c r="F29" i="11"/>
  <c r="F28" i="11"/>
  <c r="E28" i="11"/>
  <c r="F27" i="11"/>
  <c r="F26" i="11"/>
  <c r="E26" i="11"/>
  <c r="B26" i="11"/>
  <c r="B27" i="11" s="1"/>
  <c r="B28" i="11" s="1"/>
  <c r="B29" i="11" s="1"/>
  <c r="B30" i="11" s="1"/>
  <c r="B31" i="11" s="1"/>
  <c r="F25" i="11"/>
  <c r="F24" i="11"/>
  <c r="F23" i="11"/>
  <c r="B23" i="11"/>
  <c r="B24" i="11" s="1"/>
  <c r="B25" i="11" s="1"/>
  <c r="E22" i="11"/>
  <c r="B22" i="11"/>
  <c r="A22" i="11"/>
  <c r="B19" i="11"/>
  <c r="A19" i="11"/>
  <c r="R18" i="11"/>
  <c r="E84" i="11" s="1"/>
  <c r="H84" i="11" s="1"/>
  <c r="Q15" i="11"/>
  <c r="R13" i="11"/>
  <c r="Q13" i="11"/>
  <c r="Q14" i="11" s="1"/>
  <c r="R14" i="11" s="1"/>
  <c r="R15" i="11" s="1"/>
  <c r="R10" i="11"/>
  <c r="Q10" i="11"/>
  <c r="R9" i="11"/>
  <c r="Q9" i="11"/>
  <c r="R8" i="11"/>
  <c r="Q8" i="11"/>
  <c r="R7" i="11"/>
  <c r="F104" i="10"/>
  <c r="G104" i="10" s="1"/>
  <c r="D104" i="10"/>
  <c r="E104" i="10" s="1"/>
  <c r="C104" i="10"/>
  <c r="F103" i="10"/>
  <c r="G103" i="10" s="1"/>
  <c r="D103" i="10"/>
  <c r="C103" i="10"/>
  <c r="I102" i="10"/>
  <c r="F102" i="10"/>
  <c r="G102" i="10" s="1"/>
  <c r="M102" i="10" s="1"/>
  <c r="E102" i="10"/>
  <c r="D102" i="10"/>
  <c r="C102" i="10"/>
  <c r="G101" i="10"/>
  <c r="F101" i="10"/>
  <c r="E101" i="10"/>
  <c r="D101" i="10"/>
  <c r="C101" i="10"/>
  <c r="G100" i="10"/>
  <c r="F100" i="10"/>
  <c r="D100" i="10"/>
  <c r="E100" i="10" s="1"/>
  <c r="C100" i="10"/>
  <c r="I99" i="10"/>
  <c r="G99" i="10"/>
  <c r="F99" i="10"/>
  <c r="E99" i="10"/>
  <c r="D99" i="10"/>
  <c r="C99" i="10"/>
  <c r="I98" i="10"/>
  <c r="F98" i="10"/>
  <c r="G98" i="10" s="1"/>
  <c r="M98" i="10" s="1"/>
  <c r="E98" i="10"/>
  <c r="D98" i="10"/>
  <c r="C98" i="10"/>
  <c r="M97" i="10"/>
  <c r="I97" i="10"/>
  <c r="G97" i="10"/>
  <c r="F97" i="10"/>
  <c r="D97" i="10"/>
  <c r="C97" i="10"/>
  <c r="G96" i="10"/>
  <c r="F96" i="10"/>
  <c r="E96" i="10"/>
  <c r="D96" i="10"/>
  <c r="C96" i="10"/>
  <c r="M95" i="10"/>
  <c r="I95" i="10"/>
  <c r="G95" i="10"/>
  <c r="F95" i="10"/>
  <c r="D95" i="10"/>
  <c r="E95" i="10" s="1"/>
  <c r="C95" i="10"/>
  <c r="I94" i="10"/>
  <c r="F94" i="10"/>
  <c r="G94" i="10" s="1"/>
  <c r="D94" i="10"/>
  <c r="C94" i="10"/>
  <c r="I93" i="10"/>
  <c r="G93" i="10"/>
  <c r="M93" i="10" s="1"/>
  <c r="F93" i="10"/>
  <c r="E93" i="10"/>
  <c r="D93" i="10"/>
  <c r="C93" i="10"/>
  <c r="F92" i="10"/>
  <c r="G92" i="10" s="1"/>
  <c r="D92" i="10"/>
  <c r="C92" i="10"/>
  <c r="I92" i="10" s="1"/>
  <c r="I91" i="10"/>
  <c r="F91" i="10"/>
  <c r="G91" i="10" s="1"/>
  <c r="D91" i="10"/>
  <c r="C91" i="10"/>
  <c r="I90" i="10"/>
  <c r="F90" i="10"/>
  <c r="G90" i="10" s="1"/>
  <c r="D90" i="10"/>
  <c r="C90" i="10"/>
  <c r="B90" i="10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I89" i="10"/>
  <c r="F89" i="10"/>
  <c r="G89" i="10" s="1"/>
  <c r="D89" i="10"/>
  <c r="C89" i="10"/>
  <c r="M88" i="10"/>
  <c r="F88" i="10"/>
  <c r="G88" i="10" s="1"/>
  <c r="D88" i="10"/>
  <c r="C88" i="10"/>
  <c r="F87" i="10"/>
  <c r="G87" i="10" s="1"/>
  <c r="D87" i="10"/>
  <c r="C87" i="10"/>
  <c r="F86" i="10"/>
  <c r="G86" i="10" s="1"/>
  <c r="E86" i="10"/>
  <c r="D86" i="10"/>
  <c r="C86" i="10"/>
  <c r="M85" i="10"/>
  <c r="G85" i="10"/>
  <c r="F85" i="10"/>
  <c r="D85" i="10"/>
  <c r="C85" i="10"/>
  <c r="F84" i="10"/>
  <c r="G84" i="10" s="1"/>
  <c r="E84" i="10"/>
  <c r="D84" i="10"/>
  <c r="C84" i="10"/>
  <c r="F83" i="10"/>
  <c r="G83" i="10" s="1"/>
  <c r="E83" i="10"/>
  <c r="D83" i="10"/>
  <c r="C83" i="10"/>
  <c r="I83" i="10" s="1"/>
  <c r="I82" i="10"/>
  <c r="F82" i="10"/>
  <c r="G82" i="10" s="1"/>
  <c r="D82" i="10"/>
  <c r="C82" i="10"/>
  <c r="I81" i="10"/>
  <c r="F81" i="10"/>
  <c r="G81" i="10" s="1"/>
  <c r="D81" i="10"/>
  <c r="C81" i="10"/>
  <c r="G80" i="10"/>
  <c r="F80" i="10"/>
  <c r="D80" i="10"/>
  <c r="F79" i="10"/>
  <c r="G79" i="10" s="1"/>
  <c r="D79" i="10"/>
  <c r="F78" i="10"/>
  <c r="G78" i="10" s="1"/>
  <c r="E78" i="10"/>
  <c r="D78" i="10"/>
  <c r="G77" i="10"/>
  <c r="F77" i="10"/>
  <c r="E77" i="10"/>
  <c r="D77" i="10"/>
  <c r="F76" i="10"/>
  <c r="G76" i="10" s="1"/>
  <c r="D76" i="10"/>
  <c r="G75" i="10"/>
  <c r="F75" i="10"/>
  <c r="E75" i="10"/>
  <c r="D75" i="10"/>
  <c r="G74" i="10"/>
  <c r="F74" i="10"/>
  <c r="D74" i="10"/>
  <c r="G73" i="10"/>
  <c r="F73" i="10"/>
  <c r="E73" i="10"/>
  <c r="D73" i="10"/>
  <c r="G72" i="10"/>
  <c r="F72" i="10"/>
  <c r="D72" i="10"/>
  <c r="F71" i="10"/>
  <c r="G71" i="10" s="1"/>
  <c r="D71" i="10"/>
  <c r="F70" i="10"/>
  <c r="G70" i="10" s="1"/>
  <c r="D70" i="10"/>
  <c r="F69" i="10"/>
  <c r="G69" i="10" s="1"/>
  <c r="D69" i="10"/>
  <c r="G68" i="10"/>
  <c r="F68" i="10"/>
  <c r="D68" i="10"/>
  <c r="F67" i="10"/>
  <c r="G67" i="10" s="1"/>
  <c r="D67" i="10"/>
  <c r="G66" i="10"/>
  <c r="F66" i="10"/>
  <c r="D66" i="10"/>
  <c r="F65" i="10"/>
  <c r="G65" i="10" s="1"/>
  <c r="D65" i="10"/>
  <c r="G64" i="10"/>
  <c r="F64" i="10"/>
  <c r="E64" i="10"/>
  <c r="D64" i="10"/>
  <c r="F63" i="10"/>
  <c r="G63" i="10" s="1"/>
  <c r="D63" i="10"/>
  <c r="G62" i="10"/>
  <c r="F62" i="10"/>
  <c r="D62" i="10"/>
  <c r="G61" i="10"/>
  <c r="F61" i="10"/>
  <c r="D61" i="10"/>
  <c r="G60" i="10"/>
  <c r="F60" i="10"/>
  <c r="D60" i="10"/>
  <c r="G59" i="10"/>
  <c r="F59" i="10"/>
  <c r="D59" i="10"/>
  <c r="G58" i="10"/>
  <c r="F58" i="10"/>
  <c r="D58" i="10"/>
  <c r="G57" i="10"/>
  <c r="F57" i="10"/>
  <c r="E57" i="10"/>
  <c r="D57" i="10"/>
  <c r="F56" i="10"/>
  <c r="F55" i="10"/>
  <c r="F54" i="10"/>
  <c r="F53" i="10"/>
  <c r="F52" i="10"/>
  <c r="F51" i="10"/>
  <c r="F50" i="10"/>
  <c r="F49" i="10"/>
  <c r="B49" i="10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F48" i="10"/>
  <c r="F47" i="10"/>
  <c r="F46" i="10"/>
  <c r="E46" i="10"/>
  <c r="F41" i="20" s="1"/>
  <c r="F45" i="10"/>
  <c r="E45" i="10"/>
  <c r="F40" i="20" s="1"/>
  <c r="F44" i="10"/>
  <c r="E44" i="10"/>
  <c r="F39" i="20" s="1"/>
  <c r="F43" i="10"/>
  <c r="E43" i="10"/>
  <c r="F38" i="20" s="1"/>
  <c r="F42" i="10"/>
  <c r="F41" i="10"/>
  <c r="E41" i="10"/>
  <c r="F36" i="20" s="1"/>
  <c r="F40" i="10"/>
  <c r="F39" i="10"/>
  <c r="E39" i="10"/>
  <c r="F34" i="20" s="1"/>
  <c r="F38" i="10"/>
  <c r="E38" i="10"/>
  <c r="F33" i="20" s="1"/>
  <c r="F37" i="10"/>
  <c r="F36" i="10"/>
  <c r="E36" i="10"/>
  <c r="F31" i="20" s="1"/>
  <c r="F35" i="10"/>
  <c r="F34" i="10"/>
  <c r="F33" i="10"/>
  <c r="E33" i="10"/>
  <c r="F28" i="20" s="1"/>
  <c r="F32" i="10"/>
  <c r="E32" i="10"/>
  <c r="F27" i="20" s="1"/>
  <c r="F31" i="10"/>
  <c r="E31" i="10"/>
  <c r="F26" i="20" s="1"/>
  <c r="F30" i="10"/>
  <c r="F29" i="10"/>
  <c r="F28" i="10"/>
  <c r="F27" i="10"/>
  <c r="E27" i="10"/>
  <c r="F22" i="20" s="1"/>
  <c r="F26" i="10"/>
  <c r="E26" i="10"/>
  <c r="F21" i="20" s="1"/>
  <c r="F25" i="10"/>
  <c r="F24" i="10"/>
  <c r="E24" i="10"/>
  <c r="F19" i="20" s="1"/>
  <c r="F23" i="10"/>
  <c r="F22" i="10"/>
  <c r="E22" i="10"/>
  <c r="F17" i="20" s="1"/>
  <c r="B22" i="10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21" i="10"/>
  <c r="A21" i="10"/>
  <c r="A18" i="10" s="1"/>
  <c r="B18" i="10" s="1"/>
  <c r="R17" i="10"/>
  <c r="E88" i="10" s="1"/>
  <c r="R14" i="10"/>
  <c r="Q14" i="10"/>
  <c r="R13" i="10"/>
  <c r="Q13" i="10"/>
  <c r="R12" i="10"/>
  <c r="Q12" i="10"/>
  <c r="R10" i="10"/>
  <c r="Q10" i="10"/>
  <c r="R9" i="10"/>
  <c r="Q9" i="10"/>
  <c r="R8" i="10"/>
  <c r="Q8" i="10"/>
  <c r="R7" i="10"/>
  <c r="I104" i="9"/>
  <c r="H104" i="9"/>
  <c r="G104" i="9"/>
  <c r="M104" i="9" s="1"/>
  <c r="F104" i="9"/>
  <c r="E104" i="9"/>
  <c r="D104" i="9"/>
  <c r="C104" i="9"/>
  <c r="F103" i="9"/>
  <c r="G103" i="9" s="1"/>
  <c r="D103" i="9"/>
  <c r="E103" i="9" s="1"/>
  <c r="C103" i="9"/>
  <c r="M102" i="9"/>
  <c r="I102" i="9"/>
  <c r="H102" i="9"/>
  <c r="G102" i="9"/>
  <c r="F102" i="9"/>
  <c r="E102" i="9"/>
  <c r="D102" i="9"/>
  <c r="C102" i="9"/>
  <c r="G101" i="9"/>
  <c r="F101" i="9"/>
  <c r="D101" i="9"/>
  <c r="C101" i="9"/>
  <c r="I101" i="9" s="1"/>
  <c r="F100" i="9"/>
  <c r="G100" i="9" s="1"/>
  <c r="E100" i="9"/>
  <c r="D100" i="9"/>
  <c r="C100" i="9"/>
  <c r="I99" i="9"/>
  <c r="G99" i="9"/>
  <c r="F99" i="9"/>
  <c r="D99" i="9"/>
  <c r="C99" i="9"/>
  <c r="I98" i="9"/>
  <c r="F98" i="9"/>
  <c r="G98" i="9" s="1"/>
  <c r="D98" i="9"/>
  <c r="C98" i="9"/>
  <c r="I97" i="9"/>
  <c r="H97" i="9"/>
  <c r="G97" i="9"/>
  <c r="M97" i="9" s="1"/>
  <c r="F97" i="9"/>
  <c r="D97" i="9"/>
  <c r="E97" i="9" s="1"/>
  <c r="C97" i="9"/>
  <c r="G96" i="9"/>
  <c r="F96" i="9"/>
  <c r="E96" i="9"/>
  <c r="D96" i="9"/>
  <c r="C96" i="9"/>
  <c r="G95" i="9"/>
  <c r="F95" i="9"/>
  <c r="D95" i="9"/>
  <c r="C95" i="9"/>
  <c r="I95" i="9" s="1"/>
  <c r="I94" i="9"/>
  <c r="F94" i="9"/>
  <c r="G94" i="9" s="1"/>
  <c r="M94" i="9" s="1"/>
  <c r="E94" i="9"/>
  <c r="H94" i="9" s="1"/>
  <c r="D94" i="9"/>
  <c r="C94" i="9"/>
  <c r="G93" i="9"/>
  <c r="F93" i="9"/>
  <c r="D93" i="9"/>
  <c r="C93" i="9"/>
  <c r="M92" i="9"/>
  <c r="I92" i="9"/>
  <c r="H92" i="9"/>
  <c r="F92" i="9"/>
  <c r="G92" i="9" s="1"/>
  <c r="E92" i="9"/>
  <c r="D92" i="9"/>
  <c r="C92" i="9"/>
  <c r="G91" i="9"/>
  <c r="F91" i="9"/>
  <c r="E91" i="9"/>
  <c r="D91" i="9"/>
  <c r="C91" i="9"/>
  <c r="M90" i="9"/>
  <c r="I90" i="9"/>
  <c r="G90" i="9"/>
  <c r="F90" i="9"/>
  <c r="E90" i="9"/>
  <c r="D90" i="9"/>
  <c r="C90" i="9"/>
  <c r="F89" i="9"/>
  <c r="G89" i="9" s="1"/>
  <c r="D89" i="9"/>
  <c r="C89" i="9"/>
  <c r="G88" i="9"/>
  <c r="F88" i="9"/>
  <c r="E88" i="9"/>
  <c r="D88" i="9"/>
  <c r="C88" i="9"/>
  <c r="G87" i="9"/>
  <c r="M87" i="9" s="1"/>
  <c r="F87" i="9"/>
  <c r="E87" i="9"/>
  <c r="H87" i="9" s="1"/>
  <c r="D87" i="9"/>
  <c r="C87" i="9"/>
  <c r="I87" i="9" s="1"/>
  <c r="I86" i="9"/>
  <c r="F86" i="9"/>
  <c r="G86" i="9" s="1"/>
  <c r="E86" i="9"/>
  <c r="D86" i="9"/>
  <c r="C86" i="9"/>
  <c r="M85" i="9"/>
  <c r="I85" i="9"/>
  <c r="G85" i="9"/>
  <c r="F85" i="9"/>
  <c r="E85" i="9"/>
  <c r="D85" i="9"/>
  <c r="C85" i="9"/>
  <c r="H85" i="9" s="1"/>
  <c r="I84" i="9"/>
  <c r="F84" i="9"/>
  <c r="G84" i="9" s="1"/>
  <c r="M84" i="9" s="1"/>
  <c r="E84" i="9"/>
  <c r="D84" i="9"/>
  <c r="C84" i="9"/>
  <c r="F83" i="9"/>
  <c r="G83" i="9" s="1"/>
  <c r="E83" i="9"/>
  <c r="D83" i="9"/>
  <c r="C83" i="9"/>
  <c r="M82" i="9"/>
  <c r="I82" i="9"/>
  <c r="F82" i="9"/>
  <c r="G82" i="9" s="1"/>
  <c r="E82" i="9"/>
  <c r="D82" i="9"/>
  <c r="C82" i="9"/>
  <c r="M81" i="9"/>
  <c r="I81" i="9"/>
  <c r="F81" i="9"/>
  <c r="G81" i="9" s="1"/>
  <c r="D81" i="9"/>
  <c r="C81" i="9"/>
  <c r="I80" i="9"/>
  <c r="F80" i="9"/>
  <c r="G80" i="9" s="1"/>
  <c r="D80" i="9"/>
  <c r="M80" i="9" s="1"/>
  <c r="C80" i="9"/>
  <c r="F79" i="9"/>
  <c r="G79" i="9" s="1"/>
  <c r="E79" i="9"/>
  <c r="H79" i="9" s="1"/>
  <c r="D79" i="9"/>
  <c r="C79" i="9"/>
  <c r="I78" i="9"/>
  <c r="F78" i="9"/>
  <c r="G78" i="9" s="1"/>
  <c r="E78" i="9"/>
  <c r="D78" i="9"/>
  <c r="C78" i="9"/>
  <c r="I77" i="9"/>
  <c r="G77" i="9"/>
  <c r="M77" i="9" s="1"/>
  <c r="F77" i="9"/>
  <c r="E77" i="9"/>
  <c r="D77" i="9"/>
  <c r="C77" i="9"/>
  <c r="M76" i="9"/>
  <c r="I76" i="9"/>
  <c r="H76" i="9"/>
  <c r="F76" i="9"/>
  <c r="G76" i="9" s="1"/>
  <c r="E76" i="9"/>
  <c r="D76" i="9"/>
  <c r="C76" i="9"/>
  <c r="I75" i="9"/>
  <c r="F75" i="9"/>
  <c r="G75" i="9" s="1"/>
  <c r="D75" i="9"/>
  <c r="C75" i="9"/>
  <c r="F74" i="9"/>
  <c r="G74" i="9" s="1"/>
  <c r="M74" i="9" s="1"/>
  <c r="E74" i="9"/>
  <c r="D74" i="9"/>
  <c r="C74" i="9"/>
  <c r="I74" i="9" s="1"/>
  <c r="F73" i="9"/>
  <c r="G73" i="9" s="1"/>
  <c r="D73" i="9"/>
  <c r="C73" i="9"/>
  <c r="I72" i="9"/>
  <c r="F72" i="9"/>
  <c r="G72" i="9" s="1"/>
  <c r="M72" i="9" s="1"/>
  <c r="E72" i="9"/>
  <c r="D72" i="9"/>
  <c r="C72" i="9"/>
  <c r="F71" i="9"/>
  <c r="G71" i="9" s="1"/>
  <c r="D71" i="9"/>
  <c r="C71" i="9"/>
  <c r="I71" i="9" s="1"/>
  <c r="M70" i="9"/>
  <c r="I70" i="9"/>
  <c r="G70" i="9"/>
  <c r="H70" i="9" s="1"/>
  <c r="F70" i="9"/>
  <c r="E70" i="9"/>
  <c r="D70" i="9"/>
  <c r="C70" i="9"/>
  <c r="G69" i="9"/>
  <c r="F69" i="9"/>
  <c r="E69" i="9"/>
  <c r="D69" i="9"/>
  <c r="C69" i="9"/>
  <c r="F68" i="9"/>
  <c r="G68" i="9" s="1"/>
  <c r="E68" i="9"/>
  <c r="D68" i="9"/>
  <c r="C68" i="9"/>
  <c r="I67" i="9"/>
  <c r="F67" i="9"/>
  <c r="G67" i="9" s="1"/>
  <c r="H67" i="9" s="1"/>
  <c r="E67" i="9"/>
  <c r="D67" i="9"/>
  <c r="C67" i="9"/>
  <c r="I66" i="9"/>
  <c r="F66" i="9"/>
  <c r="G66" i="9" s="1"/>
  <c r="D66" i="9"/>
  <c r="C66" i="9"/>
  <c r="I65" i="9"/>
  <c r="G65" i="9"/>
  <c r="M65" i="9" s="1"/>
  <c r="F65" i="9"/>
  <c r="D65" i="9"/>
  <c r="C65" i="9"/>
  <c r="I64" i="9"/>
  <c r="F64" i="9"/>
  <c r="G64" i="9" s="1"/>
  <c r="M64" i="9" s="1"/>
  <c r="E64" i="9"/>
  <c r="D64" i="9"/>
  <c r="C64" i="9"/>
  <c r="M63" i="9"/>
  <c r="G63" i="9"/>
  <c r="F63" i="9"/>
  <c r="E63" i="9"/>
  <c r="D63" i="9"/>
  <c r="C63" i="9"/>
  <c r="I62" i="9"/>
  <c r="F62" i="9"/>
  <c r="E62" i="9"/>
  <c r="D62" i="9"/>
  <c r="C62" i="9"/>
  <c r="G61" i="9"/>
  <c r="F61" i="9"/>
  <c r="D61" i="9"/>
  <c r="C61" i="9"/>
  <c r="M60" i="9"/>
  <c r="I60" i="9"/>
  <c r="H60" i="9"/>
  <c r="F60" i="9"/>
  <c r="G60" i="9" s="1"/>
  <c r="E60" i="9"/>
  <c r="D60" i="9"/>
  <c r="C60" i="9"/>
  <c r="G59" i="9"/>
  <c r="F59" i="9"/>
  <c r="E59" i="9"/>
  <c r="D59" i="9"/>
  <c r="C59" i="9"/>
  <c r="M58" i="9"/>
  <c r="I58" i="9"/>
  <c r="G58" i="9"/>
  <c r="F58" i="9"/>
  <c r="E58" i="9"/>
  <c r="D58" i="9"/>
  <c r="C58" i="9"/>
  <c r="I57" i="9"/>
  <c r="F57" i="9"/>
  <c r="G57" i="9" s="1"/>
  <c r="D57" i="9"/>
  <c r="C57" i="9"/>
  <c r="F56" i="9"/>
  <c r="E56" i="9"/>
  <c r="F51" i="19" s="1"/>
  <c r="F55" i="9"/>
  <c r="E55" i="9"/>
  <c r="F50" i="19" s="1"/>
  <c r="F54" i="9"/>
  <c r="E54" i="9"/>
  <c r="F49" i="19" s="1"/>
  <c r="F53" i="9"/>
  <c r="E53" i="9"/>
  <c r="F48" i="19" s="1"/>
  <c r="F52" i="9"/>
  <c r="F51" i="9"/>
  <c r="E51" i="9"/>
  <c r="F46" i="19" s="1"/>
  <c r="F50" i="9"/>
  <c r="E50" i="9"/>
  <c r="F45" i="19" s="1"/>
  <c r="F49" i="9"/>
  <c r="E49" i="9"/>
  <c r="F44" i="19" s="1"/>
  <c r="F48" i="9"/>
  <c r="E48" i="9"/>
  <c r="F43" i="19" s="1"/>
  <c r="F47" i="9"/>
  <c r="F46" i="9"/>
  <c r="E46" i="9"/>
  <c r="F41" i="19" s="1"/>
  <c r="F45" i="9"/>
  <c r="E45" i="9"/>
  <c r="F40" i="19" s="1"/>
  <c r="F44" i="9"/>
  <c r="E44" i="9"/>
  <c r="F39" i="19" s="1"/>
  <c r="F43" i="9"/>
  <c r="E43" i="9"/>
  <c r="F38" i="19" s="1"/>
  <c r="F42" i="9"/>
  <c r="E42" i="9"/>
  <c r="F37" i="19" s="1"/>
  <c r="F41" i="9"/>
  <c r="E41" i="9"/>
  <c r="F36" i="19" s="1"/>
  <c r="B41" i="9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F40" i="9"/>
  <c r="E40" i="9"/>
  <c r="F35" i="19" s="1"/>
  <c r="F39" i="9"/>
  <c r="F38" i="9"/>
  <c r="E38" i="9"/>
  <c r="F33" i="19" s="1"/>
  <c r="F37" i="9"/>
  <c r="E37" i="9"/>
  <c r="F32" i="19" s="1"/>
  <c r="F36" i="9"/>
  <c r="F35" i="9"/>
  <c r="E35" i="9"/>
  <c r="F30" i="19" s="1"/>
  <c r="F34" i="9"/>
  <c r="E34" i="9"/>
  <c r="F29" i="19" s="1"/>
  <c r="F33" i="9"/>
  <c r="E33" i="9"/>
  <c r="F28" i="19" s="1"/>
  <c r="F32" i="9"/>
  <c r="E32" i="9"/>
  <c r="F27" i="19" s="1"/>
  <c r="F31" i="9"/>
  <c r="E31" i="9"/>
  <c r="F26" i="19" s="1"/>
  <c r="F30" i="9"/>
  <c r="E30" i="9"/>
  <c r="F25" i="19" s="1"/>
  <c r="F29" i="9"/>
  <c r="E29" i="9"/>
  <c r="F24" i="19" s="1"/>
  <c r="F28" i="9"/>
  <c r="E28" i="9"/>
  <c r="F23" i="19" s="1"/>
  <c r="F27" i="9"/>
  <c r="E27" i="9"/>
  <c r="F22" i="19" s="1"/>
  <c r="F26" i="9"/>
  <c r="E26" i="9"/>
  <c r="F21" i="19" s="1"/>
  <c r="F25" i="9"/>
  <c r="E25" i="9"/>
  <c r="F20" i="19" s="1"/>
  <c r="F24" i="9"/>
  <c r="E24" i="9"/>
  <c r="F19" i="19" s="1"/>
  <c r="F23" i="9"/>
  <c r="B23" i="9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F22" i="9"/>
  <c r="E22" i="9"/>
  <c r="F17" i="19" s="1"/>
  <c r="F21" i="9"/>
  <c r="E21" i="9"/>
  <c r="F16" i="19" s="1"/>
  <c r="B21" i="9"/>
  <c r="B22" i="9" s="1"/>
  <c r="A21" i="9"/>
  <c r="R17" i="9"/>
  <c r="Q14" i="9"/>
  <c r="R12" i="9"/>
  <c r="Q12" i="9"/>
  <c r="Q13" i="9" s="1"/>
  <c r="R13" i="9" s="1"/>
  <c r="R14" i="9" s="1"/>
  <c r="R10" i="9"/>
  <c r="Q10" i="9"/>
  <c r="R9" i="9"/>
  <c r="Q9" i="9"/>
  <c r="R8" i="9"/>
  <c r="Q8" i="9"/>
  <c r="R7" i="9"/>
  <c r="I104" i="8"/>
  <c r="G104" i="8"/>
  <c r="F104" i="8"/>
  <c r="D104" i="8"/>
  <c r="C104" i="8"/>
  <c r="F103" i="8"/>
  <c r="G103" i="8" s="1"/>
  <c r="E103" i="8"/>
  <c r="D103" i="8"/>
  <c r="C103" i="8"/>
  <c r="I102" i="8"/>
  <c r="G102" i="8"/>
  <c r="F102" i="8"/>
  <c r="D102" i="8"/>
  <c r="C102" i="8"/>
  <c r="M101" i="8"/>
  <c r="I101" i="8"/>
  <c r="G101" i="8"/>
  <c r="F101" i="8"/>
  <c r="E101" i="8"/>
  <c r="H101" i="8" s="1"/>
  <c r="D101" i="8"/>
  <c r="C101" i="8"/>
  <c r="M100" i="8"/>
  <c r="I100" i="8"/>
  <c r="H100" i="8"/>
  <c r="F100" i="8"/>
  <c r="G100" i="8" s="1"/>
  <c r="D100" i="8"/>
  <c r="E100" i="8" s="1"/>
  <c r="C100" i="8"/>
  <c r="I99" i="8"/>
  <c r="G99" i="8"/>
  <c r="F99" i="8"/>
  <c r="D99" i="8"/>
  <c r="E99" i="8" s="1"/>
  <c r="C99" i="8"/>
  <c r="H98" i="8"/>
  <c r="F98" i="8"/>
  <c r="G98" i="8" s="1"/>
  <c r="E98" i="8"/>
  <c r="D98" i="8"/>
  <c r="C98" i="8"/>
  <c r="I97" i="8"/>
  <c r="H97" i="8"/>
  <c r="G97" i="8"/>
  <c r="M97" i="8" s="1"/>
  <c r="F97" i="8"/>
  <c r="D97" i="8"/>
  <c r="E97" i="8" s="1"/>
  <c r="C97" i="8"/>
  <c r="I96" i="8"/>
  <c r="F96" i="8"/>
  <c r="G96" i="8" s="1"/>
  <c r="D96" i="8"/>
  <c r="C96" i="8"/>
  <c r="F95" i="8"/>
  <c r="G95" i="8" s="1"/>
  <c r="M95" i="8" s="1"/>
  <c r="D95" i="8"/>
  <c r="E95" i="8" s="1"/>
  <c r="C95" i="8"/>
  <c r="I94" i="8"/>
  <c r="F94" i="8"/>
  <c r="G94" i="8" s="1"/>
  <c r="E94" i="8"/>
  <c r="D94" i="8"/>
  <c r="M94" i="8" s="1"/>
  <c r="C94" i="8"/>
  <c r="G93" i="8"/>
  <c r="F93" i="8"/>
  <c r="E93" i="8"/>
  <c r="D93" i="8"/>
  <c r="C93" i="8"/>
  <c r="H92" i="8"/>
  <c r="F92" i="8"/>
  <c r="G92" i="8" s="1"/>
  <c r="D92" i="8"/>
  <c r="E92" i="8" s="1"/>
  <c r="C92" i="8"/>
  <c r="I91" i="8"/>
  <c r="H91" i="8"/>
  <c r="F91" i="8"/>
  <c r="G91" i="8" s="1"/>
  <c r="D91" i="8"/>
  <c r="E91" i="8" s="1"/>
  <c r="C91" i="8"/>
  <c r="F90" i="8"/>
  <c r="E90" i="8"/>
  <c r="D90" i="8"/>
  <c r="C90" i="8"/>
  <c r="M89" i="8"/>
  <c r="I89" i="8"/>
  <c r="G89" i="8"/>
  <c r="F89" i="8"/>
  <c r="D89" i="8"/>
  <c r="E89" i="8" s="1"/>
  <c r="H89" i="8" s="1"/>
  <c r="C89" i="8"/>
  <c r="F88" i="8"/>
  <c r="G88" i="8" s="1"/>
  <c r="E88" i="8"/>
  <c r="D88" i="8"/>
  <c r="C88" i="8"/>
  <c r="F87" i="8"/>
  <c r="G87" i="8" s="1"/>
  <c r="D87" i="8"/>
  <c r="E87" i="8" s="1"/>
  <c r="C87" i="8"/>
  <c r="M86" i="8"/>
  <c r="I86" i="8"/>
  <c r="H86" i="8"/>
  <c r="G86" i="8"/>
  <c r="F86" i="8"/>
  <c r="E86" i="8"/>
  <c r="D86" i="8"/>
  <c r="C86" i="8"/>
  <c r="I85" i="8"/>
  <c r="G85" i="8"/>
  <c r="F85" i="8"/>
  <c r="D85" i="8"/>
  <c r="E85" i="8" s="1"/>
  <c r="C85" i="8"/>
  <c r="M84" i="8"/>
  <c r="I84" i="8"/>
  <c r="H84" i="8"/>
  <c r="F84" i="8"/>
  <c r="G84" i="8" s="1"/>
  <c r="D84" i="8"/>
  <c r="E84" i="8" s="1"/>
  <c r="C84" i="8"/>
  <c r="F83" i="8"/>
  <c r="G83" i="8" s="1"/>
  <c r="E83" i="8"/>
  <c r="D83" i="8"/>
  <c r="C83" i="8"/>
  <c r="F82" i="8"/>
  <c r="E82" i="8"/>
  <c r="D82" i="8"/>
  <c r="C82" i="8"/>
  <c r="I81" i="8"/>
  <c r="F81" i="8"/>
  <c r="G81" i="8" s="1"/>
  <c r="M81" i="8" s="1"/>
  <c r="D81" i="8"/>
  <c r="C81" i="8"/>
  <c r="G80" i="8"/>
  <c r="F80" i="8"/>
  <c r="E80" i="8"/>
  <c r="D80" i="8"/>
  <c r="C80" i="8"/>
  <c r="F79" i="8"/>
  <c r="G79" i="8" s="1"/>
  <c r="E79" i="8"/>
  <c r="D79" i="8"/>
  <c r="C79" i="8"/>
  <c r="I78" i="8"/>
  <c r="H78" i="8"/>
  <c r="G78" i="8"/>
  <c r="F78" i="8"/>
  <c r="E78" i="8"/>
  <c r="D78" i="8"/>
  <c r="M78" i="8" s="1"/>
  <c r="C78" i="8"/>
  <c r="G77" i="8"/>
  <c r="H77" i="8" s="1"/>
  <c r="F77" i="8"/>
  <c r="E77" i="8"/>
  <c r="D77" i="8"/>
  <c r="C77" i="8"/>
  <c r="I76" i="8"/>
  <c r="F76" i="8"/>
  <c r="G76" i="8" s="1"/>
  <c r="D76" i="8"/>
  <c r="C76" i="8"/>
  <c r="G75" i="8"/>
  <c r="F75" i="8"/>
  <c r="D75" i="8"/>
  <c r="C75" i="8"/>
  <c r="I75" i="8" s="1"/>
  <c r="M74" i="8"/>
  <c r="G74" i="8"/>
  <c r="F74" i="8"/>
  <c r="E74" i="8"/>
  <c r="D74" i="8"/>
  <c r="C74" i="8"/>
  <c r="I74" i="8" s="1"/>
  <c r="I73" i="8"/>
  <c r="F73" i="8"/>
  <c r="G73" i="8" s="1"/>
  <c r="D73" i="8"/>
  <c r="M73" i="8" s="1"/>
  <c r="C73" i="8"/>
  <c r="G72" i="8"/>
  <c r="F72" i="8"/>
  <c r="E72" i="8"/>
  <c r="D72" i="8"/>
  <c r="C72" i="8"/>
  <c r="F71" i="8"/>
  <c r="G71" i="8" s="1"/>
  <c r="E71" i="8"/>
  <c r="D71" i="8"/>
  <c r="C71" i="8"/>
  <c r="M70" i="8"/>
  <c r="I70" i="8"/>
  <c r="H70" i="8"/>
  <c r="F70" i="8"/>
  <c r="G70" i="8" s="1"/>
  <c r="E70" i="8"/>
  <c r="D70" i="8"/>
  <c r="C70" i="8"/>
  <c r="M69" i="8"/>
  <c r="H69" i="8"/>
  <c r="G69" i="8"/>
  <c r="F69" i="8"/>
  <c r="E69" i="8"/>
  <c r="D69" i="8"/>
  <c r="C69" i="8"/>
  <c r="I69" i="8" s="1"/>
  <c r="F68" i="8"/>
  <c r="G68" i="8" s="1"/>
  <c r="D68" i="8"/>
  <c r="C68" i="8"/>
  <c r="F67" i="8"/>
  <c r="G67" i="8" s="1"/>
  <c r="E67" i="8"/>
  <c r="D67" i="8"/>
  <c r="C67" i="8"/>
  <c r="F66" i="8"/>
  <c r="G66" i="8" s="1"/>
  <c r="E66" i="8"/>
  <c r="D66" i="8"/>
  <c r="C66" i="8"/>
  <c r="M65" i="8"/>
  <c r="I65" i="8"/>
  <c r="F65" i="8"/>
  <c r="G65" i="8" s="1"/>
  <c r="D65" i="8"/>
  <c r="C65" i="8"/>
  <c r="G64" i="8"/>
  <c r="F64" i="8"/>
  <c r="E64" i="8"/>
  <c r="D64" i="8"/>
  <c r="C64" i="8"/>
  <c r="M63" i="8"/>
  <c r="F63" i="8"/>
  <c r="G63" i="8" s="1"/>
  <c r="E63" i="8"/>
  <c r="D63" i="8"/>
  <c r="C63" i="8"/>
  <c r="I63" i="8" s="1"/>
  <c r="I62" i="8"/>
  <c r="F62" i="8"/>
  <c r="G62" i="8" s="1"/>
  <c r="D62" i="8"/>
  <c r="C62" i="8"/>
  <c r="I61" i="8"/>
  <c r="H61" i="8"/>
  <c r="G61" i="8"/>
  <c r="M61" i="8" s="1"/>
  <c r="F61" i="8"/>
  <c r="E61" i="8"/>
  <c r="D61" i="8"/>
  <c r="C61" i="8"/>
  <c r="F60" i="8"/>
  <c r="G60" i="8" s="1"/>
  <c r="D60" i="8"/>
  <c r="C60" i="8"/>
  <c r="G59" i="8"/>
  <c r="F59" i="8"/>
  <c r="E59" i="8"/>
  <c r="D59" i="8"/>
  <c r="C59" i="8"/>
  <c r="F58" i="8"/>
  <c r="G58" i="8" s="1"/>
  <c r="E58" i="8"/>
  <c r="D58" i="8"/>
  <c r="C58" i="8"/>
  <c r="M58" i="8" s="1"/>
  <c r="M57" i="8"/>
  <c r="I57" i="8"/>
  <c r="G57" i="8"/>
  <c r="F57" i="8"/>
  <c r="D57" i="8"/>
  <c r="C57" i="8"/>
  <c r="I56" i="8"/>
  <c r="G56" i="8"/>
  <c r="F56" i="8"/>
  <c r="E56" i="8"/>
  <c r="D56" i="8"/>
  <c r="C56" i="8"/>
  <c r="H55" i="8"/>
  <c r="F55" i="8"/>
  <c r="G55" i="8" s="1"/>
  <c r="E55" i="8"/>
  <c r="D55" i="8"/>
  <c r="C55" i="8"/>
  <c r="I54" i="8"/>
  <c r="G54" i="8"/>
  <c r="H54" i="8" s="1"/>
  <c r="F54" i="8"/>
  <c r="E54" i="8"/>
  <c r="D54" i="8"/>
  <c r="C54" i="8"/>
  <c r="I53" i="8"/>
  <c r="G53" i="8"/>
  <c r="F53" i="8"/>
  <c r="E53" i="8"/>
  <c r="D53" i="8"/>
  <c r="C53" i="8"/>
  <c r="I52" i="8"/>
  <c r="F52" i="8"/>
  <c r="G52" i="8" s="1"/>
  <c r="D52" i="8"/>
  <c r="M52" i="8" s="1"/>
  <c r="C52" i="8"/>
  <c r="G51" i="8"/>
  <c r="F51" i="8"/>
  <c r="E51" i="8"/>
  <c r="H51" i="8" s="1"/>
  <c r="D51" i="8"/>
  <c r="C51" i="8"/>
  <c r="F50" i="8"/>
  <c r="G50" i="8" s="1"/>
  <c r="M50" i="8" s="1"/>
  <c r="E50" i="8"/>
  <c r="D50" i="8"/>
  <c r="C50" i="8"/>
  <c r="I50" i="8" s="1"/>
  <c r="I49" i="8"/>
  <c r="G49" i="8"/>
  <c r="F49" i="8"/>
  <c r="D49" i="8"/>
  <c r="M49" i="8" s="1"/>
  <c r="C49" i="8"/>
  <c r="I48" i="8"/>
  <c r="F48" i="8"/>
  <c r="G48" i="8" s="1"/>
  <c r="E48" i="8"/>
  <c r="D48" i="8"/>
  <c r="C48" i="8"/>
  <c r="F47" i="8"/>
  <c r="G47" i="8" s="1"/>
  <c r="E47" i="8"/>
  <c r="D47" i="8"/>
  <c r="C47" i="8"/>
  <c r="I46" i="8"/>
  <c r="G46" i="8"/>
  <c r="F46" i="8"/>
  <c r="E46" i="8"/>
  <c r="D46" i="8"/>
  <c r="C46" i="8"/>
  <c r="B46" i="8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I45" i="8"/>
  <c r="G45" i="8"/>
  <c r="F45" i="8"/>
  <c r="E45" i="8"/>
  <c r="D45" i="8"/>
  <c r="M45" i="8" s="1"/>
  <c r="C45" i="8"/>
  <c r="H45" i="8" s="1"/>
  <c r="F44" i="8"/>
  <c r="F43" i="8"/>
  <c r="E43" i="8"/>
  <c r="F38" i="18" s="1"/>
  <c r="F42" i="8"/>
  <c r="E42" i="8"/>
  <c r="F37" i="18" s="1"/>
  <c r="B42" i="8"/>
  <c r="B43" i="8" s="1"/>
  <c r="B44" i="8" s="1"/>
  <c r="B45" i="8" s="1"/>
  <c r="F41" i="8"/>
  <c r="F40" i="8"/>
  <c r="E40" i="8"/>
  <c r="F35" i="18" s="1"/>
  <c r="F39" i="8"/>
  <c r="E39" i="8"/>
  <c r="F34" i="18" s="1"/>
  <c r="F38" i="8"/>
  <c r="E38" i="8"/>
  <c r="F33" i="18" s="1"/>
  <c r="F37" i="8"/>
  <c r="E37" i="8"/>
  <c r="F32" i="18" s="1"/>
  <c r="F36" i="8"/>
  <c r="F35" i="8"/>
  <c r="E35" i="8"/>
  <c r="F30" i="18" s="1"/>
  <c r="F34" i="8"/>
  <c r="E34" i="8"/>
  <c r="F29" i="18" s="1"/>
  <c r="F33" i="8"/>
  <c r="F32" i="8"/>
  <c r="E32" i="8"/>
  <c r="F27" i="18" s="1"/>
  <c r="F31" i="8"/>
  <c r="E31" i="8"/>
  <c r="F26" i="18" s="1"/>
  <c r="F30" i="8"/>
  <c r="E30" i="8"/>
  <c r="F25" i="18" s="1"/>
  <c r="B30" i="8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F29" i="8"/>
  <c r="E29" i="8"/>
  <c r="F24" i="18" s="1"/>
  <c r="F28" i="8"/>
  <c r="F27" i="8"/>
  <c r="E27" i="8"/>
  <c r="F22" i="18" s="1"/>
  <c r="F26" i="8"/>
  <c r="F25" i="8"/>
  <c r="B25" i="8"/>
  <c r="B26" i="8" s="1"/>
  <c r="B27" i="8" s="1"/>
  <c r="B28" i="8" s="1"/>
  <c r="B29" i="8" s="1"/>
  <c r="F24" i="8"/>
  <c r="F23" i="8"/>
  <c r="E23" i="8"/>
  <c r="F18" i="18" s="1"/>
  <c r="F22" i="8"/>
  <c r="E22" i="8"/>
  <c r="F17" i="18" s="1"/>
  <c r="E21" i="8"/>
  <c r="F16" i="18" s="1"/>
  <c r="B21" i="8"/>
  <c r="B22" i="8" s="1"/>
  <c r="B23" i="8" s="1"/>
  <c r="B24" i="8" s="1"/>
  <c r="A21" i="8"/>
  <c r="A18" i="8"/>
  <c r="B18" i="8" s="1"/>
  <c r="R17" i="8"/>
  <c r="R14" i="8"/>
  <c r="Q14" i="8"/>
  <c r="R13" i="8"/>
  <c r="Q13" i="8"/>
  <c r="R12" i="8"/>
  <c r="Q12" i="8"/>
  <c r="R11" i="8"/>
  <c r="R10" i="8"/>
  <c r="Q10" i="8"/>
  <c r="R9" i="8"/>
  <c r="Q9" i="8"/>
  <c r="R8" i="8"/>
  <c r="Q8" i="8"/>
  <c r="R7" i="8"/>
  <c r="M104" i="7"/>
  <c r="G104" i="7"/>
  <c r="F104" i="7"/>
  <c r="E104" i="7"/>
  <c r="D104" i="7"/>
  <c r="C104" i="7"/>
  <c r="I104" i="7" s="1"/>
  <c r="I103" i="7"/>
  <c r="F103" i="7"/>
  <c r="G103" i="7" s="1"/>
  <c r="M103" i="7" s="1"/>
  <c r="D103" i="7"/>
  <c r="C103" i="7"/>
  <c r="I102" i="7"/>
  <c r="G102" i="7"/>
  <c r="F102" i="7"/>
  <c r="E102" i="7"/>
  <c r="D102" i="7"/>
  <c r="C102" i="7"/>
  <c r="M101" i="7"/>
  <c r="F101" i="7"/>
  <c r="G101" i="7" s="1"/>
  <c r="D101" i="7"/>
  <c r="E101" i="7" s="1"/>
  <c r="C101" i="7"/>
  <c r="I100" i="7"/>
  <c r="G100" i="7"/>
  <c r="M100" i="7" s="1"/>
  <c r="F100" i="7"/>
  <c r="E100" i="7"/>
  <c r="D100" i="7"/>
  <c r="C100" i="7"/>
  <c r="G99" i="7"/>
  <c r="F99" i="7"/>
  <c r="D99" i="7"/>
  <c r="E99" i="7" s="1"/>
  <c r="C99" i="7"/>
  <c r="I98" i="7"/>
  <c r="G98" i="7"/>
  <c r="F98" i="7"/>
  <c r="D98" i="7"/>
  <c r="E98" i="7" s="1"/>
  <c r="C98" i="7"/>
  <c r="I97" i="7"/>
  <c r="F97" i="7"/>
  <c r="G97" i="7" s="1"/>
  <c r="M97" i="7" s="1"/>
  <c r="E97" i="7"/>
  <c r="D97" i="7"/>
  <c r="C97" i="7"/>
  <c r="F96" i="7"/>
  <c r="G96" i="7" s="1"/>
  <c r="M96" i="7" s="1"/>
  <c r="D96" i="7"/>
  <c r="C96" i="7"/>
  <c r="I96" i="7" s="1"/>
  <c r="I95" i="7"/>
  <c r="F95" i="7"/>
  <c r="G95" i="7" s="1"/>
  <c r="M95" i="7" s="1"/>
  <c r="D95" i="7"/>
  <c r="C95" i="7"/>
  <c r="I94" i="7"/>
  <c r="F94" i="7"/>
  <c r="G94" i="7" s="1"/>
  <c r="M94" i="7" s="1"/>
  <c r="E94" i="7"/>
  <c r="D94" i="7"/>
  <c r="C94" i="7"/>
  <c r="I93" i="7"/>
  <c r="F93" i="7"/>
  <c r="G93" i="7" s="1"/>
  <c r="D93" i="7"/>
  <c r="C93" i="7"/>
  <c r="I92" i="7"/>
  <c r="H92" i="7"/>
  <c r="G92" i="7"/>
  <c r="F92" i="7"/>
  <c r="D92" i="7"/>
  <c r="E92" i="7" s="1"/>
  <c r="C92" i="7"/>
  <c r="I91" i="7"/>
  <c r="G91" i="7"/>
  <c r="F91" i="7"/>
  <c r="D91" i="7"/>
  <c r="C91" i="7"/>
  <c r="F90" i="7"/>
  <c r="G90" i="7" s="1"/>
  <c r="D90" i="7"/>
  <c r="E90" i="7" s="1"/>
  <c r="C90" i="7"/>
  <c r="I89" i="7"/>
  <c r="F89" i="7"/>
  <c r="E89" i="7"/>
  <c r="D89" i="7"/>
  <c r="C89" i="7"/>
  <c r="M88" i="7"/>
  <c r="H88" i="7"/>
  <c r="F88" i="7"/>
  <c r="G88" i="7" s="1"/>
  <c r="D88" i="7"/>
  <c r="E88" i="7" s="1"/>
  <c r="C88" i="7"/>
  <c r="I88" i="7" s="1"/>
  <c r="M87" i="7"/>
  <c r="I87" i="7"/>
  <c r="F87" i="7"/>
  <c r="G87" i="7" s="1"/>
  <c r="E87" i="7"/>
  <c r="D87" i="7"/>
  <c r="C87" i="7"/>
  <c r="I86" i="7"/>
  <c r="G86" i="7"/>
  <c r="F86" i="7"/>
  <c r="E86" i="7"/>
  <c r="D86" i="7"/>
  <c r="C86" i="7"/>
  <c r="F85" i="7"/>
  <c r="G85" i="7" s="1"/>
  <c r="D85" i="7"/>
  <c r="E85" i="7" s="1"/>
  <c r="C85" i="7"/>
  <c r="I84" i="7"/>
  <c r="G84" i="7"/>
  <c r="M84" i="7" s="1"/>
  <c r="F84" i="7"/>
  <c r="E84" i="7"/>
  <c r="D84" i="7"/>
  <c r="C84" i="7"/>
  <c r="M83" i="7"/>
  <c r="H83" i="7"/>
  <c r="F83" i="7"/>
  <c r="G83" i="7" s="1"/>
  <c r="D83" i="7"/>
  <c r="E83" i="7" s="1"/>
  <c r="C83" i="7"/>
  <c r="I83" i="7" s="1"/>
  <c r="I82" i="7"/>
  <c r="H82" i="7"/>
  <c r="G82" i="7"/>
  <c r="F82" i="7"/>
  <c r="D82" i="7"/>
  <c r="E82" i="7" s="1"/>
  <c r="C82" i="7"/>
  <c r="I81" i="7"/>
  <c r="F81" i="7"/>
  <c r="G81" i="7" s="1"/>
  <c r="M81" i="7" s="1"/>
  <c r="E81" i="7"/>
  <c r="D81" i="7"/>
  <c r="C81" i="7"/>
  <c r="F80" i="7"/>
  <c r="G80" i="7" s="1"/>
  <c r="D80" i="7"/>
  <c r="C80" i="7"/>
  <c r="I79" i="7"/>
  <c r="F79" i="7"/>
  <c r="G79" i="7" s="1"/>
  <c r="D79" i="7"/>
  <c r="C79" i="7"/>
  <c r="I78" i="7"/>
  <c r="G78" i="7"/>
  <c r="F78" i="7"/>
  <c r="E78" i="7"/>
  <c r="D78" i="7"/>
  <c r="C78" i="7"/>
  <c r="I77" i="7"/>
  <c r="F77" i="7"/>
  <c r="G77" i="7" s="1"/>
  <c r="E77" i="7"/>
  <c r="D77" i="7"/>
  <c r="C77" i="7"/>
  <c r="I76" i="7"/>
  <c r="G76" i="7"/>
  <c r="F76" i="7"/>
  <c r="E76" i="7"/>
  <c r="D76" i="7"/>
  <c r="M76" i="7" s="1"/>
  <c r="C76" i="7"/>
  <c r="G75" i="7"/>
  <c r="F75" i="7"/>
  <c r="D75" i="7"/>
  <c r="C75" i="7"/>
  <c r="I74" i="7"/>
  <c r="G74" i="7"/>
  <c r="F74" i="7"/>
  <c r="D74" i="7"/>
  <c r="C74" i="7"/>
  <c r="M73" i="7"/>
  <c r="H73" i="7"/>
  <c r="F73" i="7"/>
  <c r="G73" i="7" s="1"/>
  <c r="E73" i="7"/>
  <c r="D73" i="7"/>
  <c r="C73" i="7"/>
  <c r="I73" i="7" s="1"/>
  <c r="M72" i="7"/>
  <c r="G72" i="7"/>
  <c r="F72" i="7"/>
  <c r="D72" i="7"/>
  <c r="C72" i="7"/>
  <c r="I71" i="7"/>
  <c r="G71" i="7"/>
  <c r="F71" i="7"/>
  <c r="E71" i="7"/>
  <c r="D71" i="7"/>
  <c r="C71" i="7"/>
  <c r="I70" i="7"/>
  <c r="G70" i="7"/>
  <c r="F70" i="7"/>
  <c r="E70" i="7"/>
  <c r="D70" i="7"/>
  <c r="C70" i="7"/>
  <c r="I69" i="7"/>
  <c r="F69" i="7"/>
  <c r="G69" i="7" s="1"/>
  <c r="E69" i="7"/>
  <c r="D69" i="7"/>
  <c r="C69" i="7"/>
  <c r="G68" i="7"/>
  <c r="F68" i="7"/>
  <c r="D68" i="7"/>
  <c r="C68" i="7"/>
  <c r="I68" i="7" s="1"/>
  <c r="I67" i="7"/>
  <c r="F67" i="7"/>
  <c r="G67" i="7" s="1"/>
  <c r="D67" i="7"/>
  <c r="C67" i="7"/>
  <c r="F66" i="7"/>
  <c r="G66" i="7" s="1"/>
  <c r="D66" i="7"/>
  <c r="C66" i="7"/>
  <c r="I66" i="7" s="1"/>
  <c r="M65" i="7"/>
  <c r="I65" i="7"/>
  <c r="G65" i="7"/>
  <c r="F65" i="7"/>
  <c r="D65" i="7"/>
  <c r="C65" i="7"/>
  <c r="F64" i="7"/>
  <c r="G64" i="7" s="1"/>
  <c r="E64" i="7"/>
  <c r="D64" i="7"/>
  <c r="C64" i="7"/>
  <c r="M63" i="7"/>
  <c r="I63" i="7"/>
  <c r="F63" i="7"/>
  <c r="G63" i="7" s="1"/>
  <c r="D63" i="7"/>
  <c r="C63" i="7"/>
  <c r="I62" i="7"/>
  <c r="F62" i="7"/>
  <c r="G62" i="7" s="1"/>
  <c r="D62" i="7"/>
  <c r="C62" i="7"/>
  <c r="I61" i="7"/>
  <c r="F61" i="7"/>
  <c r="G61" i="7" s="1"/>
  <c r="D61" i="7"/>
  <c r="C61" i="7"/>
  <c r="I60" i="7"/>
  <c r="H60" i="7"/>
  <c r="G60" i="7"/>
  <c r="M60" i="7" s="1"/>
  <c r="F60" i="7"/>
  <c r="E60" i="7"/>
  <c r="D60" i="7"/>
  <c r="C60" i="7"/>
  <c r="M59" i="7"/>
  <c r="I59" i="7"/>
  <c r="F59" i="7"/>
  <c r="G59" i="7" s="1"/>
  <c r="E59" i="7"/>
  <c r="D59" i="7"/>
  <c r="H59" i="7" s="1"/>
  <c r="C59" i="7"/>
  <c r="I58" i="7"/>
  <c r="F58" i="7"/>
  <c r="G58" i="7" s="1"/>
  <c r="D58" i="7"/>
  <c r="C58" i="7"/>
  <c r="M57" i="7"/>
  <c r="G57" i="7"/>
  <c r="F57" i="7"/>
  <c r="E57" i="7"/>
  <c r="H57" i="7" s="1"/>
  <c r="D57" i="7"/>
  <c r="C57" i="7"/>
  <c r="I57" i="7" s="1"/>
  <c r="F56" i="7"/>
  <c r="G56" i="7" s="1"/>
  <c r="D56" i="7"/>
  <c r="M56" i="7" s="1"/>
  <c r="C56" i="7"/>
  <c r="I55" i="7"/>
  <c r="F55" i="7"/>
  <c r="G55" i="7" s="1"/>
  <c r="M55" i="7" s="1"/>
  <c r="E55" i="7"/>
  <c r="D55" i="7"/>
  <c r="C55" i="7"/>
  <c r="M54" i="7"/>
  <c r="F54" i="7"/>
  <c r="G54" i="7" s="1"/>
  <c r="D54" i="7"/>
  <c r="C54" i="7"/>
  <c r="I54" i="7" s="1"/>
  <c r="I53" i="7"/>
  <c r="F53" i="7"/>
  <c r="G53" i="7" s="1"/>
  <c r="M53" i="7" s="1"/>
  <c r="D53" i="7"/>
  <c r="C53" i="7"/>
  <c r="I52" i="7"/>
  <c r="G52" i="7"/>
  <c r="F52" i="7"/>
  <c r="E52" i="7"/>
  <c r="D52" i="7"/>
  <c r="C52" i="7"/>
  <c r="M51" i="7"/>
  <c r="I51" i="7"/>
  <c r="G51" i="7"/>
  <c r="F51" i="7"/>
  <c r="E51" i="7"/>
  <c r="D51" i="7"/>
  <c r="C51" i="7"/>
  <c r="G50" i="7"/>
  <c r="F50" i="7"/>
  <c r="D50" i="7"/>
  <c r="C50" i="7"/>
  <c r="M49" i="7"/>
  <c r="F49" i="7"/>
  <c r="G49" i="7" s="1"/>
  <c r="E49" i="7"/>
  <c r="D49" i="7"/>
  <c r="C49" i="7"/>
  <c r="G48" i="7"/>
  <c r="F48" i="7"/>
  <c r="D48" i="7"/>
  <c r="C48" i="7"/>
  <c r="I47" i="7"/>
  <c r="G47" i="7"/>
  <c r="M47" i="7" s="1"/>
  <c r="F47" i="7"/>
  <c r="D47" i="7"/>
  <c r="C47" i="7"/>
  <c r="M46" i="7"/>
  <c r="I46" i="7"/>
  <c r="G46" i="7"/>
  <c r="F46" i="7"/>
  <c r="E46" i="7"/>
  <c r="D46" i="7"/>
  <c r="C46" i="7"/>
  <c r="F45" i="7"/>
  <c r="G45" i="7" s="1"/>
  <c r="D45" i="7"/>
  <c r="C45" i="7"/>
  <c r="M45" i="7" s="1"/>
  <c r="F44" i="7"/>
  <c r="F43" i="7"/>
  <c r="F42" i="7"/>
  <c r="E42" i="7"/>
  <c r="F41" i="7"/>
  <c r="F40" i="7"/>
  <c r="E40" i="7"/>
  <c r="F39" i="7"/>
  <c r="F38" i="7"/>
  <c r="F37" i="7"/>
  <c r="E37" i="7"/>
  <c r="F36" i="7"/>
  <c r="F35" i="7"/>
  <c r="E35" i="7"/>
  <c r="F34" i="7"/>
  <c r="F33" i="7"/>
  <c r="E33" i="7"/>
  <c r="F32" i="7"/>
  <c r="F31" i="7"/>
  <c r="F30" i="7"/>
  <c r="F29" i="7"/>
  <c r="F28" i="7"/>
  <c r="F27" i="7"/>
  <c r="F26" i="7"/>
  <c r="F25" i="7"/>
  <c r="F24" i="7"/>
  <c r="F23" i="7"/>
  <c r="E23" i="7"/>
  <c r="F22" i="7"/>
  <c r="B22" i="7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F21" i="7"/>
  <c r="B21" i="7"/>
  <c r="A21" i="7"/>
  <c r="A18" i="7"/>
  <c r="B18" i="7" s="1"/>
  <c r="R17" i="7"/>
  <c r="Q13" i="7"/>
  <c r="Q14" i="7" s="1"/>
  <c r="R12" i="7"/>
  <c r="R13" i="7" s="1"/>
  <c r="R14" i="7" s="1"/>
  <c r="Q12" i="7"/>
  <c r="R11" i="7"/>
  <c r="R10" i="7"/>
  <c r="Q10" i="7"/>
  <c r="R9" i="7"/>
  <c r="Q9" i="7"/>
  <c r="R8" i="7"/>
  <c r="Q8" i="7"/>
  <c r="R7" i="7"/>
  <c r="F104" i="6"/>
  <c r="G104" i="6" s="1"/>
  <c r="D104" i="6"/>
  <c r="E104" i="6" s="1"/>
  <c r="C104" i="6"/>
  <c r="F103" i="6"/>
  <c r="G103" i="6" s="1"/>
  <c r="M103" i="6" s="1"/>
  <c r="E103" i="6"/>
  <c r="H103" i="6" s="1"/>
  <c r="D103" i="6"/>
  <c r="C103" i="6"/>
  <c r="I103" i="6" s="1"/>
  <c r="M102" i="6"/>
  <c r="F102" i="6"/>
  <c r="G102" i="6" s="1"/>
  <c r="D102" i="6"/>
  <c r="E102" i="6" s="1"/>
  <c r="C102" i="6"/>
  <c r="M101" i="6"/>
  <c r="H101" i="6"/>
  <c r="G101" i="6"/>
  <c r="F101" i="6"/>
  <c r="E101" i="6"/>
  <c r="D101" i="6"/>
  <c r="C101" i="6"/>
  <c r="I101" i="6" s="1"/>
  <c r="F100" i="6"/>
  <c r="G100" i="6" s="1"/>
  <c r="D100" i="6"/>
  <c r="E100" i="6" s="1"/>
  <c r="C100" i="6"/>
  <c r="I99" i="6"/>
  <c r="G99" i="6"/>
  <c r="F99" i="6"/>
  <c r="D99" i="6"/>
  <c r="C99" i="6"/>
  <c r="H98" i="6"/>
  <c r="F98" i="6"/>
  <c r="G98" i="6" s="1"/>
  <c r="E98" i="6"/>
  <c r="D98" i="6"/>
  <c r="C98" i="6"/>
  <c r="I97" i="6"/>
  <c r="F97" i="6"/>
  <c r="G97" i="6" s="1"/>
  <c r="D97" i="6"/>
  <c r="C97" i="6"/>
  <c r="I96" i="6"/>
  <c r="F96" i="6"/>
  <c r="G96" i="6" s="1"/>
  <c r="D96" i="6"/>
  <c r="C96" i="6"/>
  <c r="F95" i="6"/>
  <c r="G95" i="6" s="1"/>
  <c r="D95" i="6"/>
  <c r="E95" i="6" s="1"/>
  <c r="C95" i="6"/>
  <c r="M94" i="6"/>
  <c r="I94" i="6"/>
  <c r="F94" i="6"/>
  <c r="G94" i="6" s="1"/>
  <c r="D94" i="6"/>
  <c r="E94" i="6" s="1"/>
  <c r="C94" i="6"/>
  <c r="G93" i="6"/>
  <c r="F93" i="6"/>
  <c r="E93" i="6"/>
  <c r="D93" i="6"/>
  <c r="C93" i="6"/>
  <c r="G92" i="6"/>
  <c r="F92" i="6"/>
  <c r="E92" i="6"/>
  <c r="D92" i="6"/>
  <c r="C92" i="6"/>
  <c r="I91" i="6"/>
  <c r="F91" i="6"/>
  <c r="G91" i="6" s="1"/>
  <c r="E91" i="6"/>
  <c r="D91" i="6"/>
  <c r="C91" i="6"/>
  <c r="F90" i="6"/>
  <c r="G90" i="6" s="1"/>
  <c r="D90" i="6"/>
  <c r="M90" i="6" s="1"/>
  <c r="C90" i="6"/>
  <c r="I90" i="6" s="1"/>
  <c r="M89" i="6"/>
  <c r="I89" i="6"/>
  <c r="F89" i="6"/>
  <c r="G89" i="6" s="1"/>
  <c r="D89" i="6"/>
  <c r="C89" i="6"/>
  <c r="I88" i="6"/>
  <c r="F88" i="6"/>
  <c r="G88" i="6" s="1"/>
  <c r="D88" i="6"/>
  <c r="M88" i="6" s="1"/>
  <c r="C88" i="6"/>
  <c r="I87" i="6"/>
  <c r="F87" i="6"/>
  <c r="G87" i="6" s="1"/>
  <c r="D87" i="6"/>
  <c r="C87" i="6"/>
  <c r="I86" i="6"/>
  <c r="F86" i="6"/>
  <c r="G86" i="6" s="1"/>
  <c r="D86" i="6"/>
  <c r="C86" i="6"/>
  <c r="M85" i="6"/>
  <c r="I85" i="6"/>
  <c r="G85" i="6"/>
  <c r="F85" i="6"/>
  <c r="D85" i="6"/>
  <c r="C85" i="6"/>
  <c r="F84" i="6"/>
  <c r="G84" i="6" s="1"/>
  <c r="E84" i="6"/>
  <c r="H84" i="6" s="1"/>
  <c r="D84" i="6"/>
  <c r="C84" i="6"/>
  <c r="M83" i="6"/>
  <c r="I83" i="6"/>
  <c r="F83" i="6"/>
  <c r="G83" i="6" s="1"/>
  <c r="D83" i="6"/>
  <c r="C83" i="6"/>
  <c r="G82" i="6"/>
  <c r="H82" i="6" s="1"/>
  <c r="F82" i="6"/>
  <c r="E82" i="6"/>
  <c r="D82" i="6"/>
  <c r="C82" i="6"/>
  <c r="F81" i="6"/>
  <c r="G81" i="6" s="1"/>
  <c r="E81" i="6"/>
  <c r="D81" i="6"/>
  <c r="C81" i="6"/>
  <c r="I80" i="6"/>
  <c r="F80" i="6"/>
  <c r="G80" i="6" s="1"/>
  <c r="M80" i="6" s="1"/>
  <c r="E80" i="6"/>
  <c r="D80" i="6"/>
  <c r="C80" i="6"/>
  <c r="I79" i="6"/>
  <c r="F79" i="6"/>
  <c r="G79" i="6" s="1"/>
  <c r="D79" i="6"/>
  <c r="C79" i="6"/>
  <c r="I78" i="6"/>
  <c r="F78" i="6"/>
  <c r="G78" i="6" s="1"/>
  <c r="M78" i="6" s="1"/>
  <c r="D78" i="6"/>
  <c r="C78" i="6"/>
  <c r="F77" i="6"/>
  <c r="G77" i="6" s="1"/>
  <c r="D77" i="6"/>
  <c r="C77" i="6"/>
  <c r="I77" i="6" s="1"/>
  <c r="G76" i="6"/>
  <c r="F76" i="6"/>
  <c r="D76" i="6"/>
  <c r="C76" i="6"/>
  <c r="M75" i="6"/>
  <c r="I75" i="6"/>
  <c r="H75" i="6"/>
  <c r="G75" i="6"/>
  <c r="F75" i="6"/>
  <c r="E75" i="6"/>
  <c r="D75" i="6"/>
  <c r="C75" i="6"/>
  <c r="I74" i="6"/>
  <c r="G74" i="6"/>
  <c r="F74" i="6"/>
  <c r="D74" i="6"/>
  <c r="C74" i="6"/>
  <c r="M73" i="6"/>
  <c r="I73" i="6"/>
  <c r="F73" i="6"/>
  <c r="G73" i="6" s="1"/>
  <c r="D73" i="6"/>
  <c r="C73" i="6"/>
  <c r="M72" i="6"/>
  <c r="I72" i="6"/>
  <c r="G72" i="6"/>
  <c r="F72" i="6"/>
  <c r="E72" i="6"/>
  <c r="D72" i="6"/>
  <c r="C72" i="6"/>
  <c r="F71" i="6"/>
  <c r="G71" i="6" s="1"/>
  <c r="M71" i="6" s="1"/>
  <c r="D71" i="6"/>
  <c r="C71" i="6"/>
  <c r="I71" i="6" s="1"/>
  <c r="G70" i="6"/>
  <c r="F70" i="6"/>
  <c r="D70" i="6"/>
  <c r="C70" i="6"/>
  <c r="G69" i="6"/>
  <c r="F69" i="6"/>
  <c r="D69" i="6"/>
  <c r="C69" i="6"/>
  <c r="F68" i="6"/>
  <c r="E68" i="6"/>
  <c r="H68" i="6" s="1"/>
  <c r="D68" i="6"/>
  <c r="C68" i="6"/>
  <c r="F67" i="6"/>
  <c r="D67" i="6"/>
  <c r="F66" i="6"/>
  <c r="D66" i="6"/>
  <c r="F65" i="6"/>
  <c r="E65" i="6"/>
  <c r="D65" i="6"/>
  <c r="C65" i="6" s="1"/>
  <c r="F64" i="6"/>
  <c r="D64" i="6"/>
  <c r="F63" i="6"/>
  <c r="D63" i="6"/>
  <c r="F62" i="6"/>
  <c r="E62" i="6"/>
  <c r="C62" i="6" s="1"/>
  <c r="D62" i="6"/>
  <c r="F61" i="6"/>
  <c r="E61" i="6"/>
  <c r="D61" i="6"/>
  <c r="F60" i="6"/>
  <c r="E60" i="6"/>
  <c r="D60" i="6"/>
  <c r="C60" i="6" s="1"/>
  <c r="M60" i="6" s="1"/>
  <c r="F59" i="6"/>
  <c r="E59" i="6"/>
  <c r="D59" i="6"/>
  <c r="F58" i="6"/>
  <c r="D58" i="6"/>
  <c r="F57" i="6"/>
  <c r="D57" i="6"/>
  <c r="F56" i="6"/>
  <c r="E56" i="6"/>
  <c r="C56" i="6" s="1"/>
  <c r="D56" i="6"/>
  <c r="F55" i="6"/>
  <c r="D55" i="6"/>
  <c r="F54" i="6"/>
  <c r="D54" i="6"/>
  <c r="F53" i="6"/>
  <c r="D53" i="6"/>
  <c r="F52" i="6"/>
  <c r="E52" i="6"/>
  <c r="C52" i="6" s="1"/>
  <c r="D52" i="6"/>
  <c r="F51" i="6"/>
  <c r="D51" i="6"/>
  <c r="F50" i="6"/>
  <c r="E50" i="6"/>
  <c r="D50" i="6"/>
  <c r="C50" i="6" s="1"/>
  <c r="M50" i="6" s="1"/>
  <c r="F49" i="6"/>
  <c r="D49" i="6"/>
  <c r="M48" i="6"/>
  <c r="F48" i="6"/>
  <c r="E48" i="6"/>
  <c r="D48" i="6"/>
  <c r="C48" i="6"/>
  <c r="F47" i="6"/>
  <c r="D47" i="6"/>
  <c r="F46" i="6"/>
  <c r="E46" i="6"/>
  <c r="C46" i="6" s="1"/>
  <c r="D46" i="6"/>
  <c r="F45" i="6"/>
  <c r="D45" i="6"/>
  <c r="F44" i="6"/>
  <c r="D44" i="6"/>
  <c r="F43" i="6"/>
  <c r="E43" i="6"/>
  <c r="D43" i="6"/>
  <c r="C43" i="6"/>
  <c r="F42" i="6"/>
  <c r="E42" i="6"/>
  <c r="D42" i="6"/>
  <c r="C42" i="6"/>
  <c r="F41" i="6"/>
  <c r="E41" i="6"/>
  <c r="C41" i="6" s="1"/>
  <c r="D41" i="6"/>
  <c r="H40" i="6"/>
  <c r="F40" i="6"/>
  <c r="E40" i="6"/>
  <c r="C40" i="6" s="1"/>
  <c r="D40" i="6"/>
  <c r="F39" i="6"/>
  <c r="D39" i="6"/>
  <c r="B39" i="6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F38" i="6"/>
  <c r="F37" i="6"/>
  <c r="F36" i="6"/>
  <c r="E36" i="6"/>
  <c r="F31" i="16" s="1"/>
  <c r="F35" i="6"/>
  <c r="F34" i="6"/>
  <c r="F33" i="6"/>
  <c r="B33" i="6"/>
  <c r="B34" i="6" s="1"/>
  <c r="B35" i="6" s="1"/>
  <c r="B36" i="6" s="1"/>
  <c r="B37" i="6" s="1"/>
  <c r="B38" i="6" s="1"/>
  <c r="F32" i="6"/>
  <c r="F31" i="6"/>
  <c r="E31" i="6"/>
  <c r="F26" i="16" s="1"/>
  <c r="F30" i="6"/>
  <c r="E30" i="6"/>
  <c r="F25" i="16" s="1"/>
  <c r="F29" i="6"/>
  <c r="E29" i="6"/>
  <c r="F24" i="16" s="1"/>
  <c r="F28" i="6"/>
  <c r="F27" i="6"/>
  <c r="F26" i="6"/>
  <c r="E26" i="6"/>
  <c r="F21" i="16" s="1"/>
  <c r="F25" i="6"/>
  <c r="B25" i="6"/>
  <c r="B26" i="6" s="1"/>
  <c r="B27" i="6" s="1"/>
  <c r="B28" i="6" s="1"/>
  <c r="B29" i="6" s="1"/>
  <c r="B30" i="6" s="1"/>
  <c r="B31" i="6" s="1"/>
  <c r="B32" i="6" s="1"/>
  <c r="F24" i="6"/>
  <c r="E24" i="6"/>
  <c r="F19" i="16" s="1"/>
  <c r="F23" i="6"/>
  <c r="E23" i="6"/>
  <c r="F18" i="16" s="1"/>
  <c r="F22" i="6"/>
  <c r="E22" i="6"/>
  <c r="F17" i="16" s="1"/>
  <c r="B22" i="6"/>
  <c r="B23" i="6" s="1"/>
  <c r="B24" i="6" s="1"/>
  <c r="F21" i="6"/>
  <c r="B21" i="6"/>
  <c r="A21" i="6"/>
  <c r="A18" i="6"/>
  <c r="B18" i="6" s="1"/>
  <c r="R17" i="6"/>
  <c r="E55" i="6" s="1"/>
  <c r="Q13" i="6"/>
  <c r="Q14" i="6" s="1"/>
  <c r="R12" i="6"/>
  <c r="Q12" i="6"/>
  <c r="R10" i="6"/>
  <c r="Q10" i="6"/>
  <c r="R9" i="6"/>
  <c r="Q9" i="6"/>
  <c r="R8" i="6"/>
  <c r="Q8" i="6"/>
  <c r="R7" i="6"/>
  <c r="F104" i="5"/>
  <c r="E104" i="5"/>
  <c r="D104" i="5"/>
  <c r="C104" i="5"/>
  <c r="F103" i="5"/>
  <c r="G103" i="5" s="1"/>
  <c r="D103" i="5"/>
  <c r="E103" i="5" s="1"/>
  <c r="C103" i="5"/>
  <c r="F102" i="5"/>
  <c r="G102" i="5" s="1"/>
  <c r="M102" i="5" s="1"/>
  <c r="E102" i="5"/>
  <c r="D102" i="5"/>
  <c r="C102" i="5"/>
  <c r="M101" i="5"/>
  <c r="G101" i="5"/>
  <c r="F101" i="5"/>
  <c r="E101" i="5"/>
  <c r="D101" i="5"/>
  <c r="C101" i="5"/>
  <c r="M100" i="5"/>
  <c r="H100" i="5"/>
  <c r="G100" i="5"/>
  <c r="F100" i="5"/>
  <c r="E100" i="5"/>
  <c r="D100" i="5"/>
  <c r="C100" i="5"/>
  <c r="G99" i="5"/>
  <c r="F99" i="5"/>
  <c r="D99" i="5"/>
  <c r="C99" i="5"/>
  <c r="G98" i="5"/>
  <c r="F98" i="5"/>
  <c r="D98" i="5"/>
  <c r="C98" i="5"/>
  <c r="F97" i="5"/>
  <c r="G97" i="5" s="1"/>
  <c r="D97" i="5"/>
  <c r="E97" i="5" s="1"/>
  <c r="C97" i="5"/>
  <c r="F96" i="5"/>
  <c r="G96" i="5" s="1"/>
  <c r="D96" i="5"/>
  <c r="E96" i="5" s="1"/>
  <c r="C96" i="5"/>
  <c r="M96" i="5" s="1"/>
  <c r="F95" i="5"/>
  <c r="G95" i="5" s="1"/>
  <c r="M95" i="5" s="1"/>
  <c r="D95" i="5"/>
  <c r="C95" i="5"/>
  <c r="F94" i="5"/>
  <c r="G94" i="5" s="1"/>
  <c r="D94" i="5"/>
  <c r="E94" i="5" s="1"/>
  <c r="C94" i="5"/>
  <c r="F93" i="5"/>
  <c r="G93" i="5" s="1"/>
  <c r="D93" i="5"/>
  <c r="E93" i="5" s="1"/>
  <c r="C93" i="5"/>
  <c r="G92" i="5"/>
  <c r="F92" i="5"/>
  <c r="E92" i="5"/>
  <c r="D92" i="5"/>
  <c r="C92" i="5"/>
  <c r="M92" i="5" s="1"/>
  <c r="F91" i="5"/>
  <c r="E91" i="5"/>
  <c r="D91" i="5"/>
  <c r="C91" i="5"/>
  <c r="F90" i="5"/>
  <c r="G90" i="5" s="1"/>
  <c r="D90" i="5"/>
  <c r="C90" i="5"/>
  <c r="G89" i="5"/>
  <c r="M89" i="5" s="1"/>
  <c r="F89" i="5"/>
  <c r="D89" i="5"/>
  <c r="C89" i="5"/>
  <c r="G88" i="5"/>
  <c r="F88" i="5"/>
  <c r="D88" i="5"/>
  <c r="C88" i="5"/>
  <c r="F87" i="5"/>
  <c r="G87" i="5" s="1"/>
  <c r="M87" i="5" s="1"/>
  <c r="D87" i="5"/>
  <c r="C87" i="5"/>
  <c r="M86" i="5"/>
  <c r="F86" i="5"/>
  <c r="G86" i="5" s="1"/>
  <c r="D86" i="5"/>
  <c r="C86" i="5"/>
  <c r="G85" i="5"/>
  <c r="F85" i="5"/>
  <c r="D85" i="5"/>
  <c r="C85" i="5"/>
  <c r="F84" i="5"/>
  <c r="G84" i="5" s="1"/>
  <c r="D84" i="5"/>
  <c r="C84" i="5"/>
  <c r="M83" i="5"/>
  <c r="F83" i="5"/>
  <c r="G83" i="5" s="1"/>
  <c r="D83" i="5"/>
  <c r="C83" i="5"/>
  <c r="M82" i="5"/>
  <c r="G82" i="5"/>
  <c r="F82" i="5"/>
  <c r="D82" i="5"/>
  <c r="C82" i="5"/>
  <c r="M81" i="5"/>
  <c r="F81" i="5"/>
  <c r="G81" i="5" s="1"/>
  <c r="D81" i="5"/>
  <c r="C81" i="5"/>
  <c r="F80" i="5"/>
  <c r="G80" i="5" s="1"/>
  <c r="D80" i="5"/>
  <c r="C80" i="5"/>
  <c r="G79" i="5"/>
  <c r="F79" i="5"/>
  <c r="D79" i="5"/>
  <c r="C79" i="5"/>
  <c r="F78" i="5"/>
  <c r="G78" i="5" s="1"/>
  <c r="D78" i="5"/>
  <c r="C78" i="5"/>
  <c r="F77" i="5"/>
  <c r="G77" i="5" s="1"/>
  <c r="M77" i="5" s="1"/>
  <c r="D77" i="5"/>
  <c r="C77" i="5"/>
  <c r="F76" i="5"/>
  <c r="G76" i="5" s="1"/>
  <c r="D76" i="5"/>
  <c r="C76" i="5"/>
  <c r="G75" i="5"/>
  <c r="M75" i="5" s="1"/>
  <c r="F75" i="5"/>
  <c r="D75" i="5"/>
  <c r="C75" i="5"/>
  <c r="G74" i="5"/>
  <c r="F74" i="5"/>
  <c r="D74" i="5"/>
  <c r="C74" i="5"/>
  <c r="G73" i="5"/>
  <c r="F73" i="5"/>
  <c r="D73" i="5"/>
  <c r="C73" i="5"/>
  <c r="M72" i="5"/>
  <c r="G72" i="5"/>
  <c r="F72" i="5"/>
  <c r="D72" i="5"/>
  <c r="C72" i="5"/>
  <c r="G71" i="5"/>
  <c r="F71" i="5"/>
  <c r="D71" i="5"/>
  <c r="C71" i="5"/>
  <c r="F70" i="5"/>
  <c r="G70" i="5" s="1"/>
  <c r="D70" i="5"/>
  <c r="C70" i="5"/>
  <c r="G69" i="5"/>
  <c r="F69" i="5"/>
  <c r="D69" i="5"/>
  <c r="C69" i="5"/>
  <c r="F68" i="5"/>
  <c r="D68" i="5"/>
  <c r="C68" i="5"/>
  <c r="F67" i="5"/>
  <c r="D67" i="5"/>
  <c r="C67" i="5"/>
  <c r="M67" i="5" s="1"/>
  <c r="M66" i="5"/>
  <c r="F66" i="5"/>
  <c r="D66" i="5"/>
  <c r="C66" i="5"/>
  <c r="M65" i="5"/>
  <c r="F65" i="5"/>
  <c r="D65" i="5"/>
  <c r="C65" i="5"/>
  <c r="F64" i="5"/>
  <c r="D64" i="5"/>
  <c r="C64" i="5"/>
  <c r="M63" i="5"/>
  <c r="F63" i="5"/>
  <c r="D63" i="5"/>
  <c r="C63" i="5"/>
  <c r="M62" i="5"/>
  <c r="F62" i="5"/>
  <c r="D62" i="5"/>
  <c r="C62" i="5"/>
  <c r="M61" i="5"/>
  <c r="F61" i="5"/>
  <c r="D61" i="5"/>
  <c r="C61" i="5"/>
  <c r="F60" i="5"/>
  <c r="D60" i="5"/>
  <c r="M60" i="5" s="1"/>
  <c r="C60" i="5"/>
  <c r="M59" i="5"/>
  <c r="F59" i="5"/>
  <c r="D59" i="5"/>
  <c r="C59" i="5"/>
  <c r="F58" i="5"/>
  <c r="D58" i="5"/>
  <c r="C58" i="5"/>
  <c r="F57" i="5"/>
  <c r="D57" i="5"/>
  <c r="C57" i="5"/>
  <c r="F56" i="5"/>
  <c r="D56" i="5"/>
  <c r="C56" i="5"/>
  <c r="F55" i="5"/>
  <c r="D55" i="5"/>
  <c r="M55" i="5" s="1"/>
  <c r="C55" i="5"/>
  <c r="F54" i="5"/>
  <c r="D54" i="5"/>
  <c r="C54" i="5"/>
  <c r="F53" i="5"/>
  <c r="D53" i="5"/>
  <c r="C53" i="5"/>
  <c r="M53" i="5" s="1"/>
  <c r="M52" i="5"/>
  <c r="F52" i="5"/>
  <c r="D52" i="5"/>
  <c r="C52" i="5"/>
  <c r="F51" i="5"/>
  <c r="D51" i="5"/>
  <c r="C51" i="5"/>
  <c r="M50" i="5"/>
  <c r="F50" i="5"/>
  <c r="D50" i="5"/>
  <c r="C50" i="5"/>
  <c r="F49" i="5"/>
  <c r="D49" i="5"/>
  <c r="C49" i="5"/>
  <c r="M48" i="5"/>
  <c r="F48" i="5"/>
  <c r="D48" i="5"/>
  <c r="C48" i="5"/>
  <c r="M47" i="5"/>
  <c r="F47" i="5"/>
  <c r="D47" i="5"/>
  <c r="C47" i="5"/>
  <c r="M46" i="5"/>
  <c r="F46" i="5"/>
  <c r="D46" i="5"/>
  <c r="C46" i="5"/>
  <c r="M45" i="5"/>
  <c r="F45" i="5"/>
  <c r="D45" i="5"/>
  <c r="C45" i="5"/>
  <c r="F44" i="5"/>
  <c r="D44" i="5"/>
  <c r="C44" i="5"/>
  <c r="F43" i="5"/>
  <c r="D43" i="5"/>
  <c r="M43" i="5" s="1"/>
  <c r="C43" i="5"/>
  <c r="M42" i="5"/>
  <c r="F42" i="5"/>
  <c r="D42" i="5"/>
  <c r="C42" i="5"/>
  <c r="F41" i="5"/>
  <c r="D41" i="5"/>
  <c r="C41" i="5"/>
  <c r="F40" i="5"/>
  <c r="D40" i="5"/>
  <c r="C40" i="5"/>
  <c r="F39" i="5"/>
  <c r="D39" i="5"/>
  <c r="C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B22" i="5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F21" i="5"/>
  <c r="B21" i="5"/>
  <c r="A21" i="5"/>
  <c r="A18" i="5"/>
  <c r="B18" i="5" s="1"/>
  <c r="R17" i="5"/>
  <c r="E66" i="5" s="1"/>
  <c r="R12" i="5"/>
  <c r="Q12" i="5"/>
  <c r="Q13" i="5" s="1"/>
  <c r="Q14" i="5" s="1"/>
  <c r="R10" i="5"/>
  <c r="Q10" i="5"/>
  <c r="R9" i="5"/>
  <c r="Q9" i="5"/>
  <c r="R8" i="5"/>
  <c r="Q8" i="5"/>
  <c r="R7" i="5"/>
  <c r="I103" i="4"/>
  <c r="G103" i="4"/>
  <c r="F103" i="4"/>
  <c r="D103" i="4"/>
  <c r="E103" i="4" s="1"/>
  <c r="C103" i="4"/>
  <c r="G102" i="4"/>
  <c r="F102" i="4"/>
  <c r="D102" i="4"/>
  <c r="E102" i="4" s="1"/>
  <c r="C102" i="4"/>
  <c r="I101" i="4"/>
  <c r="F101" i="4"/>
  <c r="G101" i="4" s="1"/>
  <c r="M101" i="4" s="1"/>
  <c r="E101" i="4"/>
  <c r="D101" i="4"/>
  <c r="C101" i="4"/>
  <c r="I100" i="4"/>
  <c r="G100" i="4"/>
  <c r="F100" i="4"/>
  <c r="D100" i="4"/>
  <c r="E100" i="4" s="1"/>
  <c r="C100" i="4"/>
  <c r="M100" i="4" s="1"/>
  <c r="I99" i="4"/>
  <c r="G99" i="4"/>
  <c r="M99" i="4" s="1"/>
  <c r="F99" i="4"/>
  <c r="E99" i="4"/>
  <c r="D99" i="4"/>
  <c r="C99" i="4"/>
  <c r="F98" i="4"/>
  <c r="G98" i="4" s="1"/>
  <c r="E98" i="4"/>
  <c r="D98" i="4"/>
  <c r="C98" i="4"/>
  <c r="I97" i="4"/>
  <c r="G97" i="4"/>
  <c r="F97" i="4"/>
  <c r="D97" i="4"/>
  <c r="H97" i="4" s="1"/>
  <c r="C97" i="4"/>
  <c r="M96" i="4"/>
  <c r="I96" i="4"/>
  <c r="G96" i="4"/>
  <c r="F96" i="4"/>
  <c r="E96" i="4"/>
  <c r="D96" i="4"/>
  <c r="C96" i="4"/>
  <c r="I95" i="4"/>
  <c r="G95" i="4"/>
  <c r="F95" i="4"/>
  <c r="D95" i="4"/>
  <c r="C95" i="4"/>
  <c r="I94" i="4"/>
  <c r="F94" i="4"/>
  <c r="G94" i="4" s="1"/>
  <c r="E94" i="4"/>
  <c r="H94" i="4" s="1"/>
  <c r="D94" i="4"/>
  <c r="C94" i="4"/>
  <c r="I93" i="4"/>
  <c r="F93" i="4"/>
  <c r="G93" i="4" s="1"/>
  <c r="E93" i="4"/>
  <c r="D93" i="4"/>
  <c r="C93" i="4"/>
  <c r="F92" i="4"/>
  <c r="G92" i="4" s="1"/>
  <c r="E92" i="4"/>
  <c r="D92" i="4"/>
  <c r="C92" i="4"/>
  <c r="F91" i="4"/>
  <c r="G91" i="4" s="1"/>
  <c r="E91" i="4"/>
  <c r="D91" i="4"/>
  <c r="C91" i="4"/>
  <c r="I90" i="4"/>
  <c r="G90" i="4"/>
  <c r="F90" i="4"/>
  <c r="D90" i="4"/>
  <c r="C90" i="4"/>
  <c r="M89" i="4"/>
  <c r="I89" i="4"/>
  <c r="H89" i="4"/>
  <c r="F89" i="4"/>
  <c r="G89" i="4" s="1"/>
  <c r="E89" i="4"/>
  <c r="D89" i="4"/>
  <c r="C89" i="4"/>
  <c r="I88" i="4"/>
  <c r="G88" i="4"/>
  <c r="M88" i="4" s="1"/>
  <c r="F88" i="4"/>
  <c r="D88" i="4"/>
  <c r="C88" i="4"/>
  <c r="F87" i="4"/>
  <c r="G87" i="4" s="1"/>
  <c r="E87" i="4"/>
  <c r="D87" i="4"/>
  <c r="C87" i="4"/>
  <c r="I86" i="4"/>
  <c r="F86" i="4"/>
  <c r="G86" i="4" s="1"/>
  <c r="D86" i="4"/>
  <c r="C86" i="4"/>
  <c r="F85" i="4"/>
  <c r="G85" i="4" s="1"/>
  <c r="D85" i="4"/>
  <c r="C85" i="4"/>
  <c r="G84" i="4"/>
  <c r="F84" i="4"/>
  <c r="D84" i="4"/>
  <c r="C84" i="4"/>
  <c r="M84" i="4" s="1"/>
  <c r="F83" i="4"/>
  <c r="G83" i="4" s="1"/>
  <c r="E83" i="4"/>
  <c r="D83" i="4"/>
  <c r="C83" i="4"/>
  <c r="I82" i="4"/>
  <c r="F82" i="4"/>
  <c r="G82" i="4" s="1"/>
  <c r="D82" i="4"/>
  <c r="C82" i="4"/>
  <c r="I81" i="4"/>
  <c r="F81" i="4"/>
  <c r="G81" i="4" s="1"/>
  <c r="M81" i="4" s="1"/>
  <c r="E81" i="4"/>
  <c r="D81" i="4"/>
  <c r="C81" i="4"/>
  <c r="I80" i="4"/>
  <c r="G80" i="4"/>
  <c r="F80" i="4"/>
  <c r="D80" i="4"/>
  <c r="C80" i="4"/>
  <c r="F79" i="4"/>
  <c r="G79" i="4" s="1"/>
  <c r="M79" i="4" s="1"/>
  <c r="D79" i="4"/>
  <c r="C79" i="4"/>
  <c r="I79" i="4" s="1"/>
  <c r="I78" i="4"/>
  <c r="G78" i="4"/>
  <c r="F78" i="4"/>
  <c r="D78" i="4"/>
  <c r="C78" i="4"/>
  <c r="F77" i="4"/>
  <c r="G77" i="4" s="1"/>
  <c r="E77" i="4"/>
  <c r="D77" i="4"/>
  <c r="C77" i="4"/>
  <c r="I76" i="4"/>
  <c r="G76" i="4"/>
  <c r="F76" i="4"/>
  <c r="E76" i="4"/>
  <c r="D76" i="4"/>
  <c r="C76" i="4"/>
  <c r="F75" i="4"/>
  <c r="G75" i="4" s="1"/>
  <c r="D75" i="4"/>
  <c r="C75" i="4"/>
  <c r="G74" i="4"/>
  <c r="F74" i="4"/>
  <c r="D74" i="4"/>
  <c r="C74" i="4"/>
  <c r="F73" i="4"/>
  <c r="G73" i="4" s="1"/>
  <c r="M73" i="4" s="1"/>
  <c r="E73" i="4"/>
  <c r="D73" i="4"/>
  <c r="C73" i="4"/>
  <c r="I72" i="4"/>
  <c r="G72" i="4"/>
  <c r="F72" i="4"/>
  <c r="E72" i="4"/>
  <c r="D72" i="4"/>
  <c r="C72" i="4"/>
  <c r="H72" i="4" s="1"/>
  <c r="I71" i="4"/>
  <c r="F71" i="4"/>
  <c r="G71" i="4" s="1"/>
  <c r="E71" i="4"/>
  <c r="D71" i="4"/>
  <c r="H71" i="4" s="1"/>
  <c r="C71" i="4"/>
  <c r="I70" i="4"/>
  <c r="F70" i="4"/>
  <c r="G70" i="4" s="1"/>
  <c r="D70" i="4"/>
  <c r="C70" i="4"/>
  <c r="I69" i="4"/>
  <c r="G69" i="4"/>
  <c r="F69" i="4"/>
  <c r="E69" i="4"/>
  <c r="D69" i="4"/>
  <c r="C69" i="4"/>
  <c r="F68" i="4"/>
  <c r="G68" i="4" s="1"/>
  <c r="E68" i="4"/>
  <c r="D68" i="4"/>
  <c r="C68" i="4"/>
  <c r="M67" i="4"/>
  <c r="I67" i="4"/>
  <c r="G67" i="4"/>
  <c r="F67" i="4"/>
  <c r="E67" i="4"/>
  <c r="D67" i="4"/>
  <c r="C67" i="4"/>
  <c r="I66" i="4"/>
  <c r="F66" i="4"/>
  <c r="G66" i="4" s="1"/>
  <c r="E66" i="4"/>
  <c r="D66" i="4"/>
  <c r="C66" i="4"/>
  <c r="M66" i="4" s="1"/>
  <c r="M65" i="4"/>
  <c r="I65" i="4"/>
  <c r="H65" i="4"/>
  <c r="F65" i="4"/>
  <c r="G65" i="4" s="1"/>
  <c r="E65" i="4"/>
  <c r="D65" i="4"/>
  <c r="C65" i="4"/>
  <c r="G64" i="4"/>
  <c r="H64" i="4" s="1"/>
  <c r="F64" i="4"/>
  <c r="E64" i="4"/>
  <c r="D64" i="4"/>
  <c r="C64" i="4"/>
  <c r="I64" i="4" s="1"/>
  <c r="I63" i="4"/>
  <c r="F63" i="4"/>
  <c r="G63" i="4" s="1"/>
  <c r="E63" i="4"/>
  <c r="D63" i="4"/>
  <c r="C63" i="4"/>
  <c r="I62" i="4"/>
  <c r="G62" i="4"/>
  <c r="F62" i="4"/>
  <c r="D62" i="4"/>
  <c r="C62" i="4"/>
  <c r="F61" i="4"/>
  <c r="G61" i="4" s="1"/>
  <c r="E61" i="4"/>
  <c r="D61" i="4"/>
  <c r="C61" i="4"/>
  <c r="F60" i="4"/>
  <c r="G60" i="4" s="1"/>
  <c r="H60" i="4" s="1"/>
  <c r="E60" i="4"/>
  <c r="D60" i="4"/>
  <c r="C60" i="4"/>
  <c r="I60" i="4" s="1"/>
  <c r="M59" i="4"/>
  <c r="I59" i="4"/>
  <c r="F59" i="4"/>
  <c r="G59" i="4" s="1"/>
  <c r="E59" i="4"/>
  <c r="D59" i="4"/>
  <c r="H59" i="4" s="1"/>
  <c r="C59" i="4"/>
  <c r="G58" i="4"/>
  <c r="F58" i="4"/>
  <c r="E58" i="4"/>
  <c r="D58" i="4"/>
  <c r="C58" i="4"/>
  <c r="F57" i="4"/>
  <c r="G57" i="4" s="1"/>
  <c r="E57" i="4"/>
  <c r="D57" i="4"/>
  <c r="C57" i="4"/>
  <c r="F56" i="4"/>
  <c r="G56" i="4" s="1"/>
  <c r="E56" i="4"/>
  <c r="D56" i="4"/>
  <c r="C56" i="4"/>
  <c r="F55" i="4"/>
  <c r="G55" i="4" s="1"/>
  <c r="E55" i="4"/>
  <c r="D55" i="4"/>
  <c r="C55" i="4"/>
  <c r="F54" i="4"/>
  <c r="G54" i="4" s="1"/>
  <c r="D54" i="4"/>
  <c r="C54" i="4"/>
  <c r="M54" i="4" s="1"/>
  <c r="G53" i="4"/>
  <c r="F53" i="4"/>
  <c r="D53" i="4"/>
  <c r="C53" i="4"/>
  <c r="F52" i="4"/>
  <c r="G52" i="4" s="1"/>
  <c r="E52" i="4"/>
  <c r="D52" i="4"/>
  <c r="C52" i="4"/>
  <c r="H52" i="4" s="1"/>
  <c r="I51" i="4"/>
  <c r="F51" i="4"/>
  <c r="G51" i="4" s="1"/>
  <c r="E51" i="4"/>
  <c r="D51" i="4"/>
  <c r="C51" i="4"/>
  <c r="I50" i="4"/>
  <c r="F50" i="4"/>
  <c r="G50" i="4" s="1"/>
  <c r="M50" i="4" s="1"/>
  <c r="E50" i="4"/>
  <c r="H50" i="4" s="1"/>
  <c r="D50" i="4"/>
  <c r="C50" i="4"/>
  <c r="I49" i="4"/>
  <c r="F49" i="4"/>
  <c r="G49" i="4" s="1"/>
  <c r="E49" i="4"/>
  <c r="D49" i="4"/>
  <c r="H49" i="4" s="1"/>
  <c r="C49" i="4"/>
  <c r="I48" i="4"/>
  <c r="G48" i="4"/>
  <c r="M48" i="4" s="1"/>
  <c r="F48" i="4"/>
  <c r="D48" i="4"/>
  <c r="C48" i="4"/>
  <c r="F47" i="4"/>
  <c r="G47" i="4" s="1"/>
  <c r="E47" i="4"/>
  <c r="D47" i="4"/>
  <c r="M47" i="4" s="1"/>
  <c r="C47" i="4"/>
  <c r="I47" i="4" s="1"/>
  <c r="M46" i="4"/>
  <c r="I46" i="4"/>
  <c r="G46" i="4"/>
  <c r="F46" i="4"/>
  <c r="D46" i="4"/>
  <c r="C46" i="4"/>
  <c r="M45" i="4"/>
  <c r="I45" i="4"/>
  <c r="F45" i="4"/>
  <c r="G45" i="4" s="1"/>
  <c r="E45" i="4"/>
  <c r="D45" i="4"/>
  <c r="C45" i="4"/>
  <c r="M44" i="4"/>
  <c r="G44" i="4"/>
  <c r="F44" i="4"/>
  <c r="D44" i="4"/>
  <c r="C44" i="4"/>
  <c r="I44" i="4" s="1"/>
  <c r="I43" i="4"/>
  <c r="F43" i="4"/>
  <c r="G43" i="4" s="1"/>
  <c r="M43" i="4" s="1"/>
  <c r="E43" i="4"/>
  <c r="D43" i="4"/>
  <c r="C43" i="4"/>
  <c r="G42" i="4"/>
  <c r="F42" i="4"/>
  <c r="E42" i="4"/>
  <c r="D42" i="4"/>
  <c r="C42" i="4"/>
  <c r="I41" i="4"/>
  <c r="F41" i="4"/>
  <c r="G41" i="4" s="1"/>
  <c r="M41" i="4" s="1"/>
  <c r="E41" i="4"/>
  <c r="D41" i="4"/>
  <c r="C41" i="4"/>
  <c r="G40" i="4"/>
  <c r="M40" i="4" s="1"/>
  <c r="F40" i="4"/>
  <c r="E40" i="4"/>
  <c r="D40" i="4"/>
  <c r="C40" i="4"/>
  <c r="F39" i="4"/>
  <c r="G39" i="4" s="1"/>
  <c r="D39" i="4"/>
  <c r="C39" i="4"/>
  <c r="I38" i="4"/>
  <c r="G38" i="4"/>
  <c r="F38" i="4"/>
  <c r="D38" i="4"/>
  <c r="C38" i="4"/>
  <c r="I37" i="4"/>
  <c r="G37" i="4"/>
  <c r="F37" i="4"/>
  <c r="E37" i="4"/>
  <c r="D37" i="4"/>
  <c r="C37" i="4"/>
  <c r="M36" i="4"/>
  <c r="G36" i="4"/>
  <c r="F36" i="4"/>
  <c r="E36" i="4"/>
  <c r="D36" i="4"/>
  <c r="C36" i="4"/>
  <c r="I35" i="4"/>
  <c r="G35" i="4"/>
  <c r="M35" i="4" s="1"/>
  <c r="F35" i="4"/>
  <c r="E35" i="4"/>
  <c r="D35" i="4"/>
  <c r="C35" i="4"/>
  <c r="F34" i="4"/>
  <c r="G34" i="4" s="1"/>
  <c r="D34" i="4"/>
  <c r="C34" i="4"/>
  <c r="M33" i="4"/>
  <c r="I33" i="4"/>
  <c r="F33" i="4"/>
  <c r="G33" i="4" s="1"/>
  <c r="E33" i="4"/>
  <c r="D33" i="4"/>
  <c r="H33" i="4" s="1"/>
  <c r="C33" i="4"/>
  <c r="F32" i="4"/>
  <c r="G32" i="4" s="1"/>
  <c r="E32" i="4"/>
  <c r="D32" i="4"/>
  <c r="C32" i="4"/>
  <c r="F31" i="4"/>
  <c r="E31" i="4"/>
  <c r="F30" i="4"/>
  <c r="F29" i="4"/>
  <c r="E29" i="4"/>
  <c r="F28" i="4"/>
  <c r="E28" i="4"/>
  <c r="F27" i="4"/>
  <c r="E27" i="4"/>
  <c r="F26" i="4"/>
  <c r="F25" i="4"/>
  <c r="E25" i="4"/>
  <c r="F24" i="4"/>
  <c r="E24" i="4"/>
  <c r="F23" i="4"/>
  <c r="E23" i="4"/>
  <c r="B23" i="4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F22" i="4"/>
  <c r="F21" i="4"/>
  <c r="E21" i="4"/>
  <c r="B21" i="4"/>
  <c r="B22" i="4" s="1"/>
  <c r="E20" i="4"/>
  <c r="B20" i="4"/>
  <c r="A20" i="4"/>
  <c r="F20" i="4" s="1"/>
  <c r="A17" i="4"/>
  <c r="B17" i="4" s="1"/>
  <c r="R16" i="4"/>
  <c r="E97" i="4" s="1"/>
  <c r="R12" i="4"/>
  <c r="R13" i="4" s="1"/>
  <c r="R11" i="4"/>
  <c r="Q11" i="4"/>
  <c r="Q12" i="4" s="1"/>
  <c r="Q13" i="4" s="1"/>
  <c r="R10" i="4"/>
  <c r="Q10" i="4"/>
  <c r="R9" i="4"/>
  <c r="Q9" i="4"/>
  <c r="R8" i="4"/>
  <c r="Q8" i="4"/>
  <c r="R7" i="4"/>
  <c r="I103" i="3"/>
  <c r="G103" i="3"/>
  <c r="F103" i="3"/>
  <c r="D103" i="3"/>
  <c r="E103" i="3" s="1"/>
  <c r="C103" i="3"/>
  <c r="H103" i="3" s="1"/>
  <c r="F102" i="3"/>
  <c r="G102" i="3" s="1"/>
  <c r="E102" i="3"/>
  <c r="D102" i="3"/>
  <c r="C102" i="3"/>
  <c r="I101" i="3"/>
  <c r="F101" i="3"/>
  <c r="G101" i="3" s="1"/>
  <c r="D101" i="3"/>
  <c r="C101" i="3"/>
  <c r="I100" i="3"/>
  <c r="G100" i="3"/>
  <c r="F100" i="3"/>
  <c r="D100" i="3"/>
  <c r="C100" i="3"/>
  <c r="I99" i="3"/>
  <c r="F99" i="3"/>
  <c r="G99" i="3" s="1"/>
  <c r="M99" i="3" s="1"/>
  <c r="E99" i="3"/>
  <c r="D99" i="3"/>
  <c r="C99" i="3"/>
  <c r="I98" i="3"/>
  <c r="M98" i="3" s="1"/>
  <c r="G98" i="3"/>
  <c r="F98" i="3"/>
  <c r="E98" i="3"/>
  <c r="D98" i="3"/>
  <c r="C98" i="3"/>
  <c r="H98" i="3" s="1"/>
  <c r="M97" i="3"/>
  <c r="G97" i="3"/>
  <c r="F97" i="3"/>
  <c r="E97" i="3"/>
  <c r="D97" i="3"/>
  <c r="C97" i="3"/>
  <c r="I97" i="3" s="1"/>
  <c r="I96" i="3"/>
  <c r="F96" i="3"/>
  <c r="G96" i="3" s="1"/>
  <c r="H96" i="3" s="1"/>
  <c r="E96" i="3"/>
  <c r="D96" i="3"/>
  <c r="C96" i="3"/>
  <c r="I95" i="3"/>
  <c r="F95" i="3"/>
  <c r="G95" i="3" s="1"/>
  <c r="E95" i="3"/>
  <c r="D95" i="3"/>
  <c r="C95" i="3"/>
  <c r="F94" i="3"/>
  <c r="G94" i="3" s="1"/>
  <c r="E94" i="3"/>
  <c r="D94" i="3"/>
  <c r="C94" i="3"/>
  <c r="F93" i="3"/>
  <c r="G93" i="3" s="1"/>
  <c r="E93" i="3"/>
  <c r="D93" i="3"/>
  <c r="C93" i="3"/>
  <c r="I92" i="3"/>
  <c r="F92" i="3"/>
  <c r="G92" i="3" s="1"/>
  <c r="E92" i="3"/>
  <c r="D92" i="3"/>
  <c r="C92" i="3"/>
  <c r="I91" i="3"/>
  <c r="F91" i="3"/>
  <c r="G91" i="3" s="1"/>
  <c r="E91" i="3"/>
  <c r="D91" i="3"/>
  <c r="H91" i="3" s="1"/>
  <c r="C91" i="3"/>
  <c r="I90" i="3"/>
  <c r="H90" i="3"/>
  <c r="F90" i="3"/>
  <c r="G90" i="3" s="1"/>
  <c r="M90" i="3" s="1"/>
  <c r="E90" i="3"/>
  <c r="D90" i="3"/>
  <c r="C90" i="3"/>
  <c r="H89" i="3"/>
  <c r="G89" i="3"/>
  <c r="F89" i="3"/>
  <c r="E89" i="3"/>
  <c r="D89" i="3"/>
  <c r="C89" i="3"/>
  <c r="F88" i="3"/>
  <c r="G88" i="3" s="1"/>
  <c r="E88" i="3"/>
  <c r="D88" i="3"/>
  <c r="C88" i="3"/>
  <c r="I87" i="3"/>
  <c r="F87" i="3"/>
  <c r="G87" i="3" s="1"/>
  <c r="H87" i="3" s="1"/>
  <c r="E87" i="3"/>
  <c r="D87" i="3"/>
  <c r="C87" i="3"/>
  <c r="I86" i="3"/>
  <c r="F86" i="3"/>
  <c r="G86" i="3" s="1"/>
  <c r="E86" i="3"/>
  <c r="D86" i="3"/>
  <c r="C86" i="3"/>
  <c r="F85" i="3"/>
  <c r="G85" i="3" s="1"/>
  <c r="E85" i="3"/>
  <c r="D85" i="3"/>
  <c r="C85" i="3"/>
  <c r="I84" i="3"/>
  <c r="G84" i="3"/>
  <c r="F84" i="3"/>
  <c r="E84" i="3"/>
  <c r="D84" i="3"/>
  <c r="C84" i="3"/>
  <c r="I83" i="3"/>
  <c r="M83" i="3" s="1"/>
  <c r="F83" i="3"/>
  <c r="G83" i="3" s="1"/>
  <c r="E83" i="3"/>
  <c r="H83" i="3" s="1"/>
  <c r="D83" i="3"/>
  <c r="C83" i="3"/>
  <c r="M82" i="3"/>
  <c r="I82" i="3"/>
  <c r="F82" i="3"/>
  <c r="G82" i="3" s="1"/>
  <c r="E82" i="3"/>
  <c r="D82" i="3"/>
  <c r="C82" i="3"/>
  <c r="H82" i="3" s="1"/>
  <c r="I81" i="3"/>
  <c r="G81" i="3"/>
  <c r="F81" i="3"/>
  <c r="E81" i="3"/>
  <c r="D81" i="3"/>
  <c r="C81" i="3"/>
  <c r="G80" i="3"/>
  <c r="H80" i="3" s="1"/>
  <c r="F80" i="3"/>
  <c r="E80" i="3"/>
  <c r="D80" i="3"/>
  <c r="C80" i="3"/>
  <c r="H79" i="3"/>
  <c r="F79" i="3"/>
  <c r="G79" i="3" s="1"/>
  <c r="E79" i="3"/>
  <c r="D79" i="3"/>
  <c r="C79" i="3"/>
  <c r="F78" i="3"/>
  <c r="G78" i="3" s="1"/>
  <c r="E78" i="3"/>
  <c r="D78" i="3"/>
  <c r="C78" i="3"/>
  <c r="H78" i="3" s="1"/>
  <c r="G77" i="3"/>
  <c r="F77" i="3"/>
  <c r="E77" i="3"/>
  <c r="D77" i="3"/>
  <c r="C77" i="3"/>
  <c r="G76" i="3"/>
  <c r="F76" i="3"/>
  <c r="E76" i="3"/>
  <c r="D76" i="3"/>
  <c r="C76" i="3"/>
  <c r="I75" i="3"/>
  <c r="F75" i="3"/>
  <c r="G75" i="3" s="1"/>
  <c r="M75" i="3" s="1"/>
  <c r="E75" i="3"/>
  <c r="H75" i="3" s="1"/>
  <c r="D75" i="3"/>
  <c r="C75" i="3"/>
  <c r="G74" i="3"/>
  <c r="M74" i="3" s="1"/>
  <c r="F74" i="3"/>
  <c r="E74" i="3"/>
  <c r="H74" i="3" s="1"/>
  <c r="D74" i="3"/>
  <c r="C74" i="3"/>
  <c r="I74" i="3" s="1"/>
  <c r="M73" i="3"/>
  <c r="I73" i="3"/>
  <c r="H73" i="3"/>
  <c r="G73" i="3"/>
  <c r="F73" i="3"/>
  <c r="E73" i="3"/>
  <c r="D73" i="3"/>
  <c r="C73" i="3"/>
  <c r="I72" i="3"/>
  <c r="F72" i="3"/>
  <c r="G72" i="3" s="1"/>
  <c r="E72" i="3"/>
  <c r="D72" i="3"/>
  <c r="M72" i="3" s="1"/>
  <c r="C72" i="3"/>
  <c r="H72" i="3" s="1"/>
  <c r="H71" i="3"/>
  <c r="F71" i="3"/>
  <c r="G71" i="3" s="1"/>
  <c r="E71" i="3"/>
  <c r="D71" i="3"/>
  <c r="C71" i="3"/>
  <c r="F70" i="3"/>
  <c r="G70" i="3" s="1"/>
  <c r="E70" i="3"/>
  <c r="D70" i="3"/>
  <c r="C70" i="3"/>
  <c r="F69" i="3"/>
  <c r="G69" i="3" s="1"/>
  <c r="E69" i="3"/>
  <c r="D69" i="3"/>
  <c r="C69" i="3"/>
  <c r="I69" i="3" s="1"/>
  <c r="F68" i="3"/>
  <c r="G68" i="3" s="1"/>
  <c r="E68" i="3"/>
  <c r="D68" i="3"/>
  <c r="C68" i="3"/>
  <c r="H68" i="3" s="1"/>
  <c r="I67" i="3"/>
  <c r="G67" i="3"/>
  <c r="M67" i="3" s="1"/>
  <c r="F67" i="3"/>
  <c r="E67" i="3"/>
  <c r="H67" i="3" s="1"/>
  <c r="D67" i="3"/>
  <c r="C67" i="3"/>
  <c r="I66" i="3"/>
  <c r="F66" i="3"/>
  <c r="G66" i="3" s="1"/>
  <c r="E66" i="3"/>
  <c r="D66" i="3"/>
  <c r="H66" i="3" s="1"/>
  <c r="C66" i="3"/>
  <c r="G65" i="3"/>
  <c r="F65" i="3"/>
  <c r="E65" i="3"/>
  <c r="D65" i="3"/>
  <c r="C65" i="3"/>
  <c r="I65" i="3" s="1"/>
  <c r="I64" i="3"/>
  <c r="F64" i="3"/>
  <c r="G64" i="3" s="1"/>
  <c r="E64" i="3"/>
  <c r="D64" i="3"/>
  <c r="C64" i="3"/>
  <c r="I63" i="3"/>
  <c r="F63" i="3"/>
  <c r="G63" i="3" s="1"/>
  <c r="E63" i="3"/>
  <c r="D63" i="3"/>
  <c r="C63" i="3"/>
  <c r="F62" i="3"/>
  <c r="G62" i="3" s="1"/>
  <c r="M62" i="3" s="1"/>
  <c r="E62" i="3"/>
  <c r="D62" i="3"/>
  <c r="C62" i="3"/>
  <c r="I62" i="3" s="1"/>
  <c r="F61" i="3"/>
  <c r="G61" i="3" s="1"/>
  <c r="M61" i="3" s="1"/>
  <c r="E61" i="3"/>
  <c r="D61" i="3"/>
  <c r="C61" i="3"/>
  <c r="I61" i="3" s="1"/>
  <c r="F60" i="3"/>
  <c r="G60" i="3" s="1"/>
  <c r="M60" i="3" s="1"/>
  <c r="E60" i="3"/>
  <c r="D60" i="3"/>
  <c r="C60" i="3"/>
  <c r="I60" i="3" s="1"/>
  <c r="G59" i="3"/>
  <c r="H59" i="3" s="1"/>
  <c r="F59" i="3"/>
  <c r="E59" i="3"/>
  <c r="D59" i="3"/>
  <c r="C59" i="3"/>
  <c r="I58" i="3"/>
  <c r="H58" i="3"/>
  <c r="F58" i="3"/>
  <c r="G58" i="3" s="1"/>
  <c r="E58" i="3"/>
  <c r="D58" i="3"/>
  <c r="C58" i="3"/>
  <c r="I57" i="3"/>
  <c r="M57" i="3" s="1"/>
  <c r="G57" i="3"/>
  <c r="F57" i="3"/>
  <c r="E57" i="3"/>
  <c r="D57" i="3"/>
  <c r="C57" i="3"/>
  <c r="H57" i="3" s="1"/>
  <c r="G56" i="3"/>
  <c r="F56" i="3"/>
  <c r="E56" i="3"/>
  <c r="D56" i="3"/>
  <c r="C56" i="3"/>
  <c r="H56" i="3" s="1"/>
  <c r="F55" i="3"/>
  <c r="E55" i="3"/>
  <c r="D55" i="3"/>
  <c r="C55" i="3"/>
  <c r="I54" i="3"/>
  <c r="F54" i="3"/>
  <c r="G54" i="3" s="1"/>
  <c r="E54" i="3"/>
  <c r="D54" i="3"/>
  <c r="C54" i="3"/>
  <c r="F53" i="3"/>
  <c r="G53" i="3" s="1"/>
  <c r="M53" i="3" s="1"/>
  <c r="E53" i="3"/>
  <c r="D53" i="3"/>
  <c r="C53" i="3"/>
  <c r="I53" i="3" s="1"/>
  <c r="G52" i="3"/>
  <c r="F52" i="3"/>
  <c r="E52" i="3"/>
  <c r="D52" i="3"/>
  <c r="C52" i="3"/>
  <c r="I51" i="3"/>
  <c r="F51" i="3"/>
  <c r="G51" i="3" s="1"/>
  <c r="E51" i="3"/>
  <c r="D51" i="3"/>
  <c r="C51" i="3"/>
  <c r="F50" i="3"/>
  <c r="G50" i="3" s="1"/>
  <c r="E50" i="3"/>
  <c r="D50" i="3"/>
  <c r="C50" i="3"/>
  <c r="I49" i="3"/>
  <c r="H49" i="3"/>
  <c r="G49" i="3"/>
  <c r="F49" i="3"/>
  <c r="E49" i="3"/>
  <c r="D49" i="3"/>
  <c r="C49" i="3"/>
  <c r="F48" i="3"/>
  <c r="G48" i="3" s="1"/>
  <c r="E48" i="3"/>
  <c r="D48" i="3"/>
  <c r="C48" i="3"/>
  <c r="I47" i="3"/>
  <c r="G47" i="3"/>
  <c r="F47" i="3"/>
  <c r="E47" i="3"/>
  <c r="D47" i="3"/>
  <c r="H47" i="3" s="1"/>
  <c r="C47" i="3"/>
  <c r="G46" i="3"/>
  <c r="H46" i="3" s="1"/>
  <c r="F46" i="3"/>
  <c r="E46" i="3"/>
  <c r="D46" i="3"/>
  <c r="C46" i="3"/>
  <c r="G45" i="3"/>
  <c r="F45" i="3"/>
  <c r="E45" i="3"/>
  <c r="D45" i="3"/>
  <c r="C45" i="3"/>
  <c r="I45" i="3" s="1"/>
  <c r="M45" i="3" s="1"/>
  <c r="F44" i="3"/>
  <c r="G44" i="3" s="1"/>
  <c r="E44" i="3"/>
  <c r="D44" i="3"/>
  <c r="C44" i="3"/>
  <c r="F43" i="3"/>
  <c r="G43" i="3" s="1"/>
  <c r="E43" i="3"/>
  <c r="D43" i="3"/>
  <c r="C43" i="3"/>
  <c r="I42" i="3"/>
  <c r="F42" i="3"/>
  <c r="G42" i="3" s="1"/>
  <c r="E42" i="3"/>
  <c r="D42" i="3"/>
  <c r="C42" i="3"/>
  <c r="G41" i="3"/>
  <c r="F41" i="3"/>
  <c r="E41" i="3"/>
  <c r="D41" i="3"/>
  <c r="C41" i="3"/>
  <c r="I40" i="3"/>
  <c r="F40" i="3"/>
  <c r="G40" i="3" s="1"/>
  <c r="E40" i="3"/>
  <c r="D40" i="3"/>
  <c r="C40" i="3"/>
  <c r="M40" i="3" s="1"/>
  <c r="G39" i="3"/>
  <c r="F39" i="3"/>
  <c r="E39" i="3"/>
  <c r="D39" i="3"/>
  <c r="C39" i="3"/>
  <c r="I38" i="3"/>
  <c r="G38" i="3"/>
  <c r="F38" i="3"/>
  <c r="E38" i="3"/>
  <c r="D38" i="3"/>
  <c r="C38" i="3"/>
  <c r="I37" i="3"/>
  <c r="F37" i="3"/>
  <c r="G37" i="3" s="1"/>
  <c r="M37" i="3" s="1"/>
  <c r="E37" i="3"/>
  <c r="D37" i="3"/>
  <c r="C37" i="3"/>
  <c r="F36" i="3"/>
  <c r="G36" i="3" s="1"/>
  <c r="E36" i="3"/>
  <c r="D36" i="3"/>
  <c r="C36" i="3"/>
  <c r="F35" i="3"/>
  <c r="G35" i="3" s="1"/>
  <c r="E35" i="3"/>
  <c r="D35" i="3"/>
  <c r="C35" i="3"/>
  <c r="F34" i="3"/>
  <c r="G34" i="3" s="1"/>
  <c r="E34" i="3"/>
  <c r="D34" i="3"/>
  <c r="C34" i="3"/>
  <c r="I33" i="3"/>
  <c r="G33" i="3"/>
  <c r="M33" i="3" s="1"/>
  <c r="F33" i="3"/>
  <c r="E33" i="3"/>
  <c r="D33" i="3"/>
  <c r="C33" i="3"/>
  <c r="I32" i="3"/>
  <c r="F32" i="3"/>
  <c r="G32" i="3" s="1"/>
  <c r="E32" i="3"/>
  <c r="D32" i="3"/>
  <c r="C32" i="3"/>
  <c r="H32" i="3" s="1"/>
  <c r="I35" i="1" s="1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B25" i="3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F24" i="3"/>
  <c r="E24" i="3"/>
  <c r="F23" i="3"/>
  <c r="E23" i="3"/>
  <c r="B23" i="3"/>
  <c r="B24" i="3" s="1"/>
  <c r="F22" i="3"/>
  <c r="E22" i="3"/>
  <c r="F21" i="3"/>
  <c r="E21" i="3"/>
  <c r="E20" i="3"/>
  <c r="B20" i="3"/>
  <c r="B21" i="3" s="1"/>
  <c r="B22" i="3" s="1"/>
  <c r="A20" i="3"/>
  <c r="A17" i="3" s="1"/>
  <c r="B17" i="3"/>
  <c r="R16" i="3"/>
  <c r="G6" i="3"/>
  <c r="F5" i="3"/>
  <c r="K19" i="3" s="1"/>
  <c r="K17" i="3" s="1"/>
  <c r="I19" i="2"/>
  <c r="L18" i="2"/>
  <c r="L14" i="2"/>
  <c r="F14" i="2"/>
  <c r="C11" i="2"/>
  <c r="I9" i="2"/>
  <c r="L7" i="2"/>
  <c r="F7" i="2"/>
  <c r="C7" i="2"/>
  <c r="L5" i="2"/>
  <c r="F4" i="2"/>
  <c r="C4" i="2"/>
  <c r="I3" i="2"/>
  <c r="I2" i="2"/>
  <c r="H2" i="2"/>
  <c r="AB59" i="1"/>
  <c r="AA59" i="1"/>
  <c r="V47" i="1"/>
  <c r="U47" i="1"/>
  <c r="P41" i="1"/>
  <c r="O41" i="1"/>
  <c r="J35" i="1"/>
  <c r="K11" i="1"/>
  <c r="F5" i="5" s="1"/>
  <c r="E7" i="15" l="1"/>
  <c r="E8" i="15" s="1"/>
  <c r="L20" i="5"/>
  <c r="L18" i="5" s="1"/>
  <c r="J20" i="5"/>
  <c r="J18" i="5" s="1"/>
  <c r="K20" i="5"/>
  <c r="K18" i="5" s="1"/>
  <c r="H95" i="4"/>
  <c r="H93" i="3"/>
  <c r="F18" i="14"/>
  <c r="F18" i="13"/>
  <c r="M41" i="3"/>
  <c r="I41" i="3"/>
  <c r="H3" i="2"/>
  <c r="J2" i="2"/>
  <c r="U23" i="1" s="1"/>
  <c r="H44" i="3"/>
  <c r="M44" i="3"/>
  <c r="I44" i="3"/>
  <c r="H77" i="3"/>
  <c r="I77" i="3"/>
  <c r="M77" i="3" s="1"/>
  <c r="M102" i="4"/>
  <c r="H102" i="4"/>
  <c r="L19" i="3"/>
  <c r="L17" i="3" s="1"/>
  <c r="M49" i="3"/>
  <c r="H35" i="4"/>
  <c r="E40" i="5"/>
  <c r="F35" i="17" s="1"/>
  <c r="M76" i="5"/>
  <c r="M96" i="8"/>
  <c r="E96" i="8"/>
  <c r="H96" i="8" s="1"/>
  <c r="F6" i="2"/>
  <c r="I59" i="3"/>
  <c r="M59" i="3"/>
  <c r="M80" i="3"/>
  <c r="I85" i="3"/>
  <c r="M85" i="3" s="1"/>
  <c r="H85" i="3"/>
  <c r="M86" i="7"/>
  <c r="H86" i="7"/>
  <c r="M102" i="7"/>
  <c r="H102" i="7"/>
  <c r="I103" i="9"/>
  <c r="H103" i="9"/>
  <c r="M103" i="9"/>
  <c r="E77" i="5"/>
  <c r="H77" i="5" s="1"/>
  <c r="F26" i="13"/>
  <c r="F26" i="14"/>
  <c r="M69" i="3"/>
  <c r="H69" i="3"/>
  <c r="M85" i="4"/>
  <c r="H85" i="4"/>
  <c r="I85" i="4"/>
  <c r="H91" i="4"/>
  <c r="I91" i="4"/>
  <c r="E58" i="5"/>
  <c r="M69" i="5"/>
  <c r="H43" i="4"/>
  <c r="E35" i="5"/>
  <c r="E44" i="5"/>
  <c r="F39" i="17" s="1"/>
  <c r="E62" i="5"/>
  <c r="G91" i="5"/>
  <c r="M91" i="5" s="1"/>
  <c r="H91" i="5"/>
  <c r="L2" i="2"/>
  <c r="L37" i="2" s="1"/>
  <c r="I17" i="2"/>
  <c r="M76" i="4"/>
  <c r="H76" i="4"/>
  <c r="I6" i="2"/>
  <c r="L35" i="2"/>
  <c r="I34" i="3"/>
  <c r="M34" i="3" s="1"/>
  <c r="H34" i="3"/>
  <c r="H37" i="3"/>
  <c r="H41" i="3"/>
  <c r="H54" i="3"/>
  <c r="I56" i="3"/>
  <c r="I88" i="3"/>
  <c r="M88" i="3" s="1"/>
  <c r="H88" i="3"/>
  <c r="I93" i="3"/>
  <c r="M93" i="3"/>
  <c r="H73" i="4"/>
  <c r="I73" i="4"/>
  <c r="M67" i="8"/>
  <c r="I67" i="8"/>
  <c r="H67" i="8"/>
  <c r="I65" i="6"/>
  <c r="H65" i="6"/>
  <c r="M65" i="6"/>
  <c r="M64" i="3"/>
  <c r="H59" i="5"/>
  <c r="C10" i="2"/>
  <c r="I24" i="2"/>
  <c r="L36" i="2"/>
  <c r="H39" i="3"/>
  <c r="M54" i="3"/>
  <c r="M56" i="3"/>
  <c r="H64" i="3"/>
  <c r="I70" i="3"/>
  <c r="M70" i="3" s="1"/>
  <c r="H70" i="3"/>
  <c r="M96" i="3"/>
  <c r="E101" i="3"/>
  <c r="H101" i="3"/>
  <c r="I36" i="4"/>
  <c r="H36" i="4"/>
  <c r="M49" i="4"/>
  <c r="M63" i="4"/>
  <c r="H63" i="4"/>
  <c r="M91" i="4"/>
  <c r="M95" i="4"/>
  <c r="I102" i="4"/>
  <c r="E48" i="5"/>
  <c r="H48" i="5" s="1"/>
  <c r="H84" i="5"/>
  <c r="M84" i="5"/>
  <c r="M40" i="6"/>
  <c r="I40" i="6"/>
  <c r="M95" i="6"/>
  <c r="I95" i="6"/>
  <c r="H95" i="6"/>
  <c r="E82" i="5"/>
  <c r="E85" i="5"/>
  <c r="H85" i="5" s="1"/>
  <c r="E33" i="5"/>
  <c r="E86" i="5"/>
  <c r="H86" i="5" s="1"/>
  <c r="E84" i="5"/>
  <c r="E80" i="5"/>
  <c r="E78" i="5"/>
  <c r="H78" i="5" s="1"/>
  <c r="E76" i="5"/>
  <c r="H76" i="5" s="1"/>
  <c r="E64" i="5"/>
  <c r="H64" i="5" s="1"/>
  <c r="E47" i="5"/>
  <c r="H47" i="5" s="1"/>
  <c r="E29" i="5"/>
  <c r="E65" i="5"/>
  <c r="H65" i="5" s="1"/>
  <c r="E50" i="5"/>
  <c r="E28" i="5"/>
  <c r="E73" i="5"/>
  <c r="H73" i="5" s="1"/>
  <c r="E67" i="5"/>
  <c r="H67" i="5" s="1"/>
  <c r="E52" i="5"/>
  <c r="E26" i="5"/>
  <c r="E71" i="5"/>
  <c r="E69" i="5"/>
  <c r="H69" i="5" s="1"/>
  <c r="E54" i="5"/>
  <c r="H54" i="5" s="1"/>
  <c r="E24" i="5"/>
  <c r="E74" i="5"/>
  <c r="H74" i="5" s="1"/>
  <c r="E72" i="5"/>
  <c r="H72" i="5" s="1"/>
  <c r="E55" i="5"/>
  <c r="H55" i="5" s="1"/>
  <c r="E30" i="5"/>
  <c r="E25" i="5"/>
  <c r="E90" i="5"/>
  <c r="E39" i="5"/>
  <c r="F34" i="17" s="1"/>
  <c r="E22" i="5"/>
  <c r="E83" i="5"/>
  <c r="H83" i="5" s="1"/>
  <c r="E88" i="5"/>
  <c r="H88" i="5" s="1"/>
  <c r="E75" i="5"/>
  <c r="H75" i="5" s="1"/>
  <c r="E87" i="5"/>
  <c r="H87" i="5" s="1"/>
  <c r="E41" i="5"/>
  <c r="F36" i="17" s="1"/>
  <c r="E38" i="5"/>
  <c r="E32" i="5"/>
  <c r="E23" i="5"/>
  <c r="E61" i="5"/>
  <c r="H61" i="5" s="1"/>
  <c r="E49" i="5"/>
  <c r="E63" i="5"/>
  <c r="H63" i="5" s="1"/>
  <c r="E31" i="5"/>
  <c r="E79" i="5"/>
  <c r="H79" i="5" s="1"/>
  <c r="E81" i="5"/>
  <c r="E70" i="5"/>
  <c r="E27" i="5"/>
  <c r="E89" i="5"/>
  <c r="E53" i="5"/>
  <c r="H53" i="5" s="1"/>
  <c r="E36" i="5"/>
  <c r="E21" i="5"/>
  <c r="E45" i="5"/>
  <c r="H45" i="5" s="1"/>
  <c r="E42" i="5"/>
  <c r="F37" i="17" s="1"/>
  <c r="E59" i="5"/>
  <c r="E51" i="5"/>
  <c r="I92" i="6"/>
  <c r="M92" i="6"/>
  <c r="H92" i="6"/>
  <c r="F20" i="14"/>
  <c r="F20" i="13"/>
  <c r="I35" i="3"/>
  <c r="H35" i="3"/>
  <c r="H62" i="3"/>
  <c r="I94" i="3"/>
  <c r="M94" i="3" s="1"/>
  <c r="H94" i="3"/>
  <c r="I102" i="3"/>
  <c r="M102" i="3" s="1"/>
  <c r="I42" i="4"/>
  <c r="H42" i="4"/>
  <c r="M42" i="4"/>
  <c r="I61" i="4"/>
  <c r="M61" i="4"/>
  <c r="H74" i="4"/>
  <c r="H77" i="4"/>
  <c r="M77" i="4"/>
  <c r="E56" i="5"/>
  <c r="M74" i="5"/>
  <c r="E96" i="6"/>
  <c r="H96" i="6" s="1"/>
  <c r="G90" i="8"/>
  <c r="H90" i="8"/>
  <c r="H52" i="3"/>
  <c r="I52" i="3"/>
  <c r="M52" i="3" s="1"/>
  <c r="I58" i="4"/>
  <c r="H58" i="4"/>
  <c r="H70" i="5"/>
  <c r="I50" i="6"/>
  <c r="H50" i="6"/>
  <c r="F24" i="13"/>
  <c r="F24" i="14"/>
  <c r="E10" i="13"/>
  <c r="C15" i="13" s="1"/>
  <c r="F6" i="3"/>
  <c r="M60" i="4"/>
  <c r="H38" i="3"/>
  <c r="M38" i="3"/>
  <c r="M56" i="6"/>
  <c r="I56" i="6"/>
  <c r="H56" i="6"/>
  <c r="C8" i="2"/>
  <c r="I11" i="2"/>
  <c r="I78" i="3"/>
  <c r="M78" i="3" s="1"/>
  <c r="H93" i="4"/>
  <c r="M93" i="4"/>
  <c r="E98" i="5"/>
  <c r="M98" i="5"/>
  <c r="H43" i="3"/>
  <c r="I43" i="3"/>
  <c r="M43" i="3"/>
  <c r="I56" i="4"/>
  <c r="M56" i="4"/>
  <c r="H56" i="4"/>
  <c r="E46" i="5"/>
  <c r="H46" i="5" s="1"/>
  <c r="M96" i="6"/>
  <c r="M35" i="3"/>
  <c r="H40" i="3"/>
  <c r="H50" i="3"/>
  <c r="G55" i="3"/>
  <c r="H55" i="3" s="1"/>
  <c r="I79" i="3"/>
  <c r="M79" i="3" s="1"/>
  <c r="H84" i="3"/>
  <c r="M84" i="3"/>
  <c r="H99" i="3"/>
  <c r="H102" i="3"/>
  <c r="I40" i="4"/>
  <c r="H40" i="4"/>
  <c r="H45" i="4"/>
  <c r="H47" i="4"/>
  <c r="H61" i="4"/>
  <c r="H66" i="4"/>
  <c r="I74" i="4"/>
  <c r="I77" i="4"/>
  <c r="F18" i="5"/>
  <c r="E57" i="5"/>
  <c r="G104" i="5"/>
  <c r="M104" i="5" s="1"/>
  <c r="I52" i="6"/>
  <c r="H52" i="6"/>
  <c r="M52" i="6"/>
  <c r="M42" i="3"/>
  <c r="H42" i="3"/>
  <c r="H92" i="4"/>
  <c r="M92" i="4"/>
  <c r="I92" i="4"/>
  <c r="I60" i="6"/>
  <c r="H60" i="6"/>
  <c r="E7" i="13"/>
  <c r="E8" i="13" s="1"/>
  <c r="J19" i="3"/>
  <c r="J17" i="3" s="1"/>
  <c r="I55" i="4"/>
  <c r="H55" i="4"/>
  <c r="M55" i="4"/>
  <c r="H65" i="3"/>
  <c r="M65" i="3"/>
  <c r="F17" i="4"/>
  <c r="M34" i="4"/>
  <c r="M85" i="5"/>
  <c r="M93" i="5"/>
  <c r="H93" i="5"/>
  <c r="F17" i="13"/>
  <c r="F17" i="14"/>
  <c r="G17" i="3"/>
  <c r="E60" i="5"/>
  <c r="H60" i="5" s="1"/>
  <c r="H46" i="6"/>
  <c r="M46" i="6"/>
  <c r="I46" i="6"/>
  <c r="E98" i="9"/>
  <c r="H98" i="9"/>
  <c r="F5" i="10"/>
  <c r="F5" i="8"/>
  <c r="F5" i="9"/>
  <c r="F5" i="11"/>
  <c r="L24" i="2"/>
  <c r="L17" i="2"/>
  <c r="L12" i="2"/>
  <c r="L8" i="2"/>
  <c r="L4" i="2"/>
  <c r="F5" i="7"/>
  <c r="F5" i="4"/>
  <c r="F5" i="12"/>
  <c r="L34" i="2"/>
  <c r="L28" i="2"/>
  <c r="I13" i="2"/>
  <c r="F9" i="2"/>
  <c r="C5" i="2"/>
  <c r="E2" i="2"/>
  <c r="L32" i="2"/>
  <c r="L26" i="2"/>
  <c r="I23" i="2"/>
  <c r="I20" i="2"/>
  <c r="F18" i="2"/>
  <c r="F16" i="2"/>
  <c r="F3" i="2"/>
  <c r="L15" i="2"/>
  <c r="L13" i="2"/>
  <c r="F12" i="2"/>
  <c r="L10" i="2"/>
  <c r="L25" i="2"/>
  <c r="L19" i="2"/>
  <c r="I4" i="2"/>
  <c r="I25" i="2" s="1"/>
  <c r="I10" i="2"/>
  <c r="L31" i="2"/>
  <c r="L22" i="2"/>
  <c r="C6" i="2"/>
  <c r="C3" i="2"/>
  <c r="C12" i="2"/>
  <c r="C9" i="2"/>
  <c r="I7" i="2"/>
  <c r="F17" i="2"/>
  <c r="F15" i="2"/>
  <c r="F13" i="2"/>
  <c r="L11" i="2"/>
  <c r="F10" i="2"/>
  <c r="K2" i="2"/>
  <c r="L21" i="2"/>
  <c r="K14" i="1"/>
  <c r="F11" i="2"/>
  <c r="L9" i="2"/>
  <c r="F8" i="2"/>
  <c r="L6" i="2"/>
  <c r="F5" i="2"/>
  <c r="L3" i="2"/>
  <c r="F2" i="2"/>
  <c r="L33" i="2"/>
  <c r="L27" i="2"/>
  <c r="L23" i="2"/>
  <c r="L20" i="2"/>
  <c r="I18" i="2"/>
  <c r="I16" i="2"/>
  <c r="I14" i="2"/>
  <c r="C2" i="2"/>
  <c r="M63" i="3"/>
  <c r="H63" i="3"/>
  <c r="M71" i="3"/>
  <c r="H76" i="3"/>
  <c r="M76" i="3"/>
  <c r="I76" i="3"/>
  <c r="I34" i="4"/>
  <c r="M58" i="4"/>
  <c r="I42" i="6"/>
  <c r="H42" i="6"/>
  <c r="M89" i="9"/>
  <c r="I89" i="9"/>
  <c r="M95" i="9"/>
  <c r="E95" i="9"/>
  <c r="H95" i="9" s="1"/>
  <c r="I15" i="2"/>
  <c r="M32" i="3"/>
  <c r="H69" i="4"/>
  <c r="M69" i="4"/>
  <c r="M90" i="5"/>
  <c r="H90" i="5"/>
  <c r="M67" i="7"/>
  <c r="M53" i="8"/>
  <c r="H53" i="8"/>
  <c r="L29" i="2"/>
  <c r="I8" i="2"/>
  <c r="I21" i="2"/>
  <c r="L30" i="2"/>
  <c r="M46" i="3"/>
  <c r="I46" i="3"/>
  <c r="I50" i="3"/>
  <c r="M50" i="3" s="1"/>
  <c r="M58" i="3"/>
  <c r="I68" i="3"/>
  <c r="M68" i="3" s="1"/>
  <c r="M87" i="3"/>
  <c r="M74" i="4"/>
  <c r="E43" i="5"/>
  <c r="F5" i="6"/>
  <c r="H48" i="6"/>
  <c r="I48" i="6"/>
  <c r="H62" i="6"/>
  <c r="I62" i="6"/>
  <c r="M62" i="6"/>
  <c r="M104" i="6"/>
  <c r="H104" i="6"/>
  <c r="I104" i="6"/>
  <c r="M92" i="3"/>
  <c r="E34" i="5"/>
  <c r="E68" i="5"/>
  <c r="H68" i="5" s="1"/>
  <c r="M42" i="6"/>
  <c r="B2" i="2"/>
  <c r="I5" i="2"/>
  <c r="I12" i="2"/>
  <c r="L16" i="2"/>
  <c r="I22" i="2"/>
  <c r="M51" i="3"/>
  <c r="H51" i="3"/>
  <c r="I71" i="3"/>
  <c r="H95" i="3"/>
  <c r="H97" i="3"/>
  <c r="M100" i="3"/>
  <c r="E100" i="3"/>
  <c r="H100" i="3" s="1"/>
  <c r="G17" i="4"/>
  <c r="I84" i="4"/>
  <c r="M54" i="5"/>
  <c r="E95" i="5"/>
  <c r="H95" i="5"/>
  <c r="M99" i="5"/>
  <c r="F18" i="6"/>
  <c r="M43" i="6"/>
  <c r="I43" i="6"/>
  <c r="H43" i="6"/>
  <c r="H79" i="7"/>
  <c r="M79" i="7"/>
  <c r="E37" i="5"/>
  <c r="H45" i="7"/>
  <c r="I45" i="7"/>
  <c r="M76" i="8"/>
  <c r="H76" i="8"/>
  <c r="M64" i="5"/>
  <c r="I55" i="3"/>
  <c r="M55" i="3" s="1"/>
  <c r="H37" i="4"/>
  <c r="H41" i="4"/>
  <c r="M62" i="4"/>
  <c r="H81" i="4"/>
  <c r="H88" i="4"/>
  <c r="H103" i="4"/>
  <c r="M39" i="5"/>
  <c r="H39" i="5"/>
  <c r="H80" i="5"/>
  <c r="M80" i="5"/>
  <c r="M100" i="6"/>
  <c r="F18" i="7"/>
  <c r="G82" i="8"/>
  <c r="H82" i="8" s="1"/>
  <c r="H94" i="8"/>
  <c r="H66" i="9"/>
  <c r="M78" i="9"/>
  <c r="H78" i="9"/>
  <c r="H42" i="5"/>
  <c r="I55" i="8"/>
  <c r="M55" i="8"/>
  <c r="I63" i="9"/>
  <c r="H63" i="9"/>
  <c r="M96" i="9"/>
  <c r="H96" i="9"/>
  <c r="I96" i="9"/>
  <c r="M89" i="11"/>
  <c r="I89" i="11"/>
  <c r="H89" i="11"/>
  <c r="H48" i="3"/>
  <c r="M39" i="4"/>
  <c r="I54" i="4"/>
  <c r="I68" i="4"/>
  <c r="M68" i="4"/>
  <c r="M70" i="4"/>
  <c r="H56" i="5"/>
  <c r="M56" i="5"/>
  <c r="H62" i="5"/>
  <c r="H89" i="5"/>
  <c r="H102" i="5"/>
  <c r="M41" i="6"/>
  <c r="I41" i="6"/>
  <c r="H41" i="6"/>
  <c r="I69" i="6"/>
  <c r="M69" i="6"/>
  <c r="H69" i="6"/>
  <c r="I80" i="7"/>
  <c r="M80" i="7"/>
  <c r="M77" i="8"/>
  <c r="I77" i="8"/>
  <c r="M83" i="8"/>
  <c r="I83" i="8"/>
  <c r="H83" i="8"/>
  <c r="I76" i="6"/>
  <c r="M76" i="6"/>
  <c r="M69" i="7"/>
  <c r="H69" i="7"/>
  <c r="H64" i="8"/>
  <c r="M64" i="8"/>
  <c r="I64" i="8"/>
  <c r="M91" i="3"/>
  <c r="M97" i="4"/>
  <c r="H101" i="4"/>
  <c r="H98" i="5"/>
  <c r="M87" i="6"/>
  <c r="H93" i="6"/>
  <c r="I93" i="6"/>
  <c r="M93" i="6"/>
  <c r="H97" i="7"/>
  <c r="H80" i="8"/>
  <c r="M80" i="8"/>
  <c r="I80" i="8"/>
  <c r="I75" i="12"/>
  <c r="H75" i="12"/>
  <c r="M75" i="12"/>
  <c r="F16" i="13"/>
  <c r="F16" i="14"/>
  <c r="I80" i="3"/>
  <c r="I89" i="3"/>
  <c r="M89" i="3" s="1"/>
  <c r="H32" i="4"/>
  <c r="M53" i="4"/>
  <c r="H57" i="4"/>
  <c r="M64" i="4"/>
  <c r="M72" i="4"/>
  <c r="H40" i="5"/>
  <c r="H51" i="5"/>
  <c r="H103" i="5"/>
  <c r="M103" i="5"/>
  <c r="I48" i="7"/>
  <c r="H48" i="7"/>
  <c r="M48" i="7"/>
  <c r="H51" i="7"/>
  <c r="M59" i="8"/>
  <c r="I59" i="8"/>
  <c r="F20" i="3"/>
  <c r="F17" i="3" s="1"/>
  <c r="H36" i="3"/>
  <c r="I36" i="3"/>
  <c r="M36" i="3" s="1"/>
  <c r="I39" i="3"/>
  <c r="M39" i="3" s="1"/>
  <c r="I48" i="3"/>
  <c r="M48" i="3" s="1"/>
  <c r="M86" i="3"/>
  <c r="M37" i="4"/>
  <c r="I39" i="4"/>
  <c r="H51" i="4"/>
  <c r="H68" i="4"/>
  <c r="I75" i="4"/>
  <c r="M103" i="4"/>
  <c r="M57" i="5"/>
  <c r="H57" i="5"/>
  <c r="M70" i="6"/>
  <c r="H70" i="6"/>
  <c r="H80" i="6"/>
  <c r="E99" i="6"/>
  <c r="H99" i="6" s="1"/>
  <c r="H70" i="7"/>
  <c r="M70" i="7"/>
  <c r="H81" i="7"/>
  <c r="H50" i="8"/>
  <c r="H59" i="9"/>
  <c r="M59" i="9"/>
  <c r="M88" i="9"/>
  <c r="I88" i="9"/>
  <c r="H72" i="8"/>
  <c r="M72" i="8"/>
  <c r="I72" i="8"/>
  <c r="M93" i="8"/>
  <c r="I93" i="8"/>
  <c r="I57" i="4"/>
  <c r="H67" i="4"/>
  <c r="H87" i="4"/>
  <c r="M87" i="4"/>
  <c r="M40" i="5"/>
  <c r="M51" i="5"/>
  <c r="H45" i="3"/>
  <c r="I32" i="4"/>
  <c r="M38" i="4"/>
  <c r="I53" i="4"/>
  <c r="M57" i="4"/>
  <c r="M75" i="4"/>
  <c r="M82" i="4"/>
  <c r="H44" i="5"/>
  <c r="M44" i="5"/>
  <c r="H58" i="5"/>
  <c r="M58" i="5"/>
  <c r="H66" i="5"/>
  <c r="H82" i="5"/>
  <c r="E99" i="5"/>
  <c r="H99" i="5" s="1"/>
  <c r="I70" i="6"/>
  <c r="H94" i="6"/>
  <c r="M99" i="6"/>
  <c r="H59" i="8"/>
  <c r="F18" i="9"/>
  <c r="M101" i="9"/>
  <c r="M81" i="3"/>
  <c r="H81" i="3"/>
  <c r="M80" i="4"/>
  <c r="H98" i="4"/>
  <c r="I98" i="4"/>
  <c r="H49" i="5"/>
  <c r="M49" i="5"/>
  <c r="H71" i="5"/>
  <c r="M71" i="5"/>
  <c r="G18" i="6"/>
  <c r="M77" i="6"/>
  <c r="I102" i="6"/>
  <c r="H102" i="6"/>
  <c r="M99" i="7"/>
  <c r="H99" i="7"/>
  <c r="I99" i="7"/>
  <c r="M71" i="9"/>
  <c r="H71" i="9"/>
  <c r="H61" i="3"/>
  <c r="F19" i="13"/>
  <c r="F19" i="14"/>
  <c r="F21" i="13"/>
  <c r="F21" i="14"/>
  <c r="H33" i="3"/>
  <c r="H86" i="3"/>
  <c r="M101" i="3"/>
  <c r="M32" i="4"/>
  <c r="M51" i="4"/>
  <c r="M78" i="4"/>
  <c r="H96" i="4"/>
  <c r="M41" i="5"/>
  <c r="H41" i="5"/>
  <c r="H90" i="7"/>
  <c r="E93" i="7"/>
  <c r="H93" i="7" s="1"/>
  <c r="M93" i="7"/>
  <c r="H57" i="8"/>
  <c r="H85" i="8"/>
  <c r="M85" i="8"/>
  <c r="I59" i="9"/>
  <c r="H74" i="9"/>
  <c r="H77" i="9"/>
  <c r="H88" i="9"/>
  <c r="E101" i="9"/>
  <c r="H101" i="9" s="1"/>
  <c r="H53" i="3"/>
  <c r="H60" i="3"/>
  <c r="M103" i="3"/>
  <c r="I52" i="4"/>
  <c r="M52" i="4"/>
  <c r="H83" i="4"/>
  <c r="I83" i="4"/>
  <c r="M83" i="4"/>
  <c r="I87" i="4"/>
  <c r="M98" i="4"/>
  <c r="H100" i="4"/>
  <c r="H94" i="5"/>
  <c r="M97" i="5"/>
  <c r="H97" i="5"/>
  <c r="H88" i="8"/>
  <c r="M88" i="8"/>
  <c r="I88" i="8"/>
  <c r="H93" i="8"/>
  <c r="H86" i="9"/>
  <c r="M86" i="9"/>
  <c r="H72" i="6"/>
  <c r="M74" i="6"/>
  <c r="H74" i="6"/>
  <c r="I84" i="6"/>
  <c r="M84" i="6"/>
  <c r="M86" i="6"/>
  <c r="M61" i="7"/>
  <c r="H61" i="7"/>
  <c r="I64" i="7"/>
  <c r="M64" i="7"/>
  <c r="H64" i="7"/>
  <c r="M74" i="7"/>
  <c r="H74" i="7"/>
  <c r="M48" i="8"/>
  <c r="I69" i="9"/>
  <c r="M69" i="9"/>
  <c r="H69" i="9"/>
  <c r="E99" i="9"/>
  <c r="H99" i="9" s="1"/>
  <c r="M99" i="9"/>
  <c r="M87" i="10"/>
  <c r="I87" i="10"/>
  <c r="E86" i="6"/>
  <c r="H86" i="6" s="1"/>
  <c r="E78" i="6"/>
  <c r="H78" i="6" s="1"/>
  <c r="E70" i="6"/>
  <c r="E63" i="6"/>
  <c r="C63" i="6" s="1"/>
  <c r="E47" i="6"/>
  <c r="C47" i="6" s="1"/>
  <c r="E35" i="6"/>
  <c r="F30" i="16" s="1"/>
  <c r="E27" i="6"/>
  <c r="F22" i="16" s="1"/>
  <c r="E90" i="6"/>
  <c r="H90" i="6" s="1"/>
  <c r="E66" i="6"/>
  <c r="C66" i="6" s="1"/>
  <c r="E53" i="6"/>
  <c r="C53" i="6" s="1"/>
  <c r="E38" i="6"/>
  <c r="F33" i="16" s="1"/>
  <c r="E21" i="6"/>
  <c r="E88" i="6"/>
  <c r="E74" i="6"/>
  <c r="E51" i="6"/>
  <c r="C51" i="6" s="1"/>
  <c r="E49" i="6"/>
  <c r="E39" i="6"/>
  <c r="C39" i="6" s="1"/>
  <c r="E79" i="6"/>
  <c r="H79" i="6" s="1"/>
  <c r="E37" i="6"/>
  <c r="F32" i="16" s="1"/>
  <c r="E85" i="6"/>
  <c r="H85" i="6" s="1"/>
  <c r="E71" i="6"/>
  <c r="H71" i="6" s="1"/>
  <c r="E76" i="6"/>
  <c r="H76" i="6" s="1"/>
  <c r="E34" i="6"/>
  <c r="F29" i="16" s="1"/>
  <c r="E25" i="6"/>
  <c r="F20" i="16" s="1"/>
  <c r="E83" i="6"/>
  <c r="H83" i="6" s="1"/>
  <c r="E69" i="6"/>
  <c r="E57" i="6"/>
  <c r="C57" i="6" s="1"/>
  <c r="E33" i="6"/>
  <c r="F28" i="16" s="1"/>
  <c r="E28" i="6"/>
  <c r="F23" i="16" s="1"/>
  <c r="E87" i="6"/>
  <c r="H87" i="6" s="1"/>
  <c r="E67" i="6"/>
  <c r="C67" i="6" s="1"/>
  <c r="E77" i="6"/>
  <c r="H77" i="6" s="1"/>
  <c r="E32" i="6"/>
  <c r="F27" i="16" s="1"/>
  <c r="E44" i="6"/>
  <c r="C44" i="6" s="1"/>
  <c r="E58" i="6"/>
  <c r="C58" i="6" s="1"/>
  <c r="C61" i="6"/>
  <c r="E64" i="6"/>
  <c r="C64" i="6" s="1"/>
  <c r="M79" i="6"/>
  <c r="E89" i="6"/>
  <c r="H89" i="6" s="1"/>
  <c r="H46" i="7"/>
  <c r="I49" i="7"/>
  <c r="H49" i="7"/>
  <c r="I56" i="7"/>
  <c r="H89" i="7"/>
  <c r="G89" i="7"/>
  <c r="G18" i="7" s="1"/>
  <c r="H91" i="9"/>
  <c r="M91" i="9"/>
  <c r="I91" i="9"/>
  <c r="M84" i="10"/>
  <c r="I84" i="10"/>
  <c r="H84" i="10"/>
  <c r="M85" i="7"/>
  <c r="H85" i="7"/>
  <c r="I85" i="7"/>
  <c r="I71" i="8"/>
  <c r="H71" i="8"/>
  <c r="H83" i="9"/>
  <c r="G19" i="11"/>
  <c r="F23" i="13"/>
  <c r="F23" i="14"/>
  <c r="F25" i="14"/>
  <c r="F25" i="13"/>
  <c r="F27" i="13"/>
  <c r="F27" i="14"/>
  <c r="M47" i="3"/>
  <c r="M66" i="3"/>
  <c r="H92" i="3"/>
  <c r="M71" i="4"/>
  <c r="M86" i="4"/>
  <c r="H52" i="5"/>
  <c r="M68" i="5"/>
  <c r="H101" i="5"/>
  <c r="E45" i="6"/>
  <c r="C45" i="6" s="1"/>
  <c r="C54" i="6"/>
  <c r="E73" i="6"/>
  <c r="H73" i="6" s="1"/>
  <c r="M46" i="8"/>
  <c r="H46" i="8"/>
  <c r="M71" i="8"/>
  <c r="E104" i="11"/>
  <c r="H104" i="11" s="1"/>
  <c r="M104" i="11"/>
  <c r="M73" i="5"/>
  <c r="M78" i="5"/>
  <c r="E54" i="6"/>
  <c r="I98" i="6"/>
  <c r="M98" i="6"/>
  <c r="H78" i="7"/>
  <c r="M91" i="7"/>
  <c r="E91" i="7"/>
  <c r="H91" i="7" s="1"/>
  <c r="M60" i="8"/>
  <c r="I66" i="8"/>
  <c r="M66" i="8"/>
  <c r="H66" i="8"/>
  <c r="M73" i="11"/>
  <c r="H79" i="12"/>
  <c r="I79" i="12"/>
  <c r="M79" i="12"/>
  <c r="M102" i="12"/>
  <c r="I102" i="12"/>
  <c r="H102" i="12"/>
  <c r="I58" i="8"/>
  <c r="H58" i="8"/>
  <c r="M75" i="8"/>
  <c r="H75" i="8"/>
  <c r="I79" i="9"/>
  <c r="M79" i="9"/>
  <c r="M82" i="6"/>
  <c r="E97" i="6"/>
  <c r="H97" i="6" s="1"/>
  <c r="M97" i="6"/>
  <c r="H71" i="7"/>
  <c r="M71" i="7"/>
  <c r="H76" i="7"/>
  <c r="F21" i="8"/>
  <c r="F18" i="8" s="1"/>
  <c r="I92" i="8"/>
  <c r="M92" i="8"/>
  <c r="A18" i="9"/>
  <c r="B18" i="9" s="1"/>
  <c r="M73" i="9"/>
  <c r="I73" i="9"/>
  <c r="E103" i="10"/>
  <c r="M103" i="10"/>
  <c r="H104" i="7"/>
  <c r="M68" i="8"/>
  <c r="I68" i="8"/>
  <c r="G62" i="9"/>
  <c r="M62" i="9" s="1"/>
  <c r="M91" i="6"/>
  <c r="H91" i="6"/>
  <c r="M52" i="7"/>
  <c r="M90" i="7"/>
  <c r="I47" i="8"/>
  <c r="M47" i="8"/>
  <c r="H47" i="8"/>
  <c r="M62" i="8"/>
  <c r="H84" i="9"/>
  <c r="H104" i="10"/>
  <c r="I104" i="10"/>
  <c r="M104" i="10"/>
  <c r="M102" i="11"/>
  <c r="H102" i="11"/>
  <c r="F22" i="14"/>
  <c r="F22" i="13"/>
  <c r="M95" i="3"/>
  <c r="E34" i="4"/>
  <c r="H34" i="4" s="1"/>
  <c r="E39" i="4"/>
  <c r="H39" i="4" s="1"/>
  <c r="E44" i="4"/>
  <c r="H44" i="4" s="1"/>
  <c r="M88" i="5"/>
  <c r="C59" i="6"/>
  <c r="I82" i="6"/>
  <c r="I100" i="6"/>
  <c r="H100" i="6"/>
  <c r="E74" i="7"/>
  <c r="E66" i="7"/>
  <c r="E58" i="7"/>
  <c r="H58" i="7" s="1"/>
  <c r="E50" i="7"/>
  <c r="H50" i="7" s="1"/>
  <c r="E31" i="7"/>
  <c r="E44" i="7"/>
  <c r="E75" i="7"/>
  <c r="H75" i="7" s="1"/>
  <c r="E68" i="7"/>
  <c r="H68" i="7" s="1"/>
  <c r="E54" i="7"/>
  <c r="H54" i="7" s="1"/>
  <c r="E26" i="7"/>
  <c r="E79" i="7"/>
  <c r="E72" i="7"/>
  <c r="E65" i="7"/>
  <c r="H65" i="7" s="1"/>
  <c r="E62" i="7"/>
  <c r="E47" i="7"/>
  <c r="H47" i="7" s="1"/>
  <c r="E56" i="7"/>
  <c r="H56" i="7" s="1"/>
  <c r="E45" i="7"/>
  <c r="E43" i="7"/>
  <c r="E41" i="7"/>
  <c r="E39" i="7"/>
  <c r="E29" i="7"/>
  <c r="E27" i="7"/>
  <c r="E25" i="7"/>
  <c r="E67" i="7"/>
  <c r="H67" i="7" s="1"/>
  <c r="E63" i="7"/>
  <c r="H63" i="7" s="1"/>
  <c r="E61" i="7"/>
  <c r="E48" i="7"/>
  <c r="E53" i="7"/>
  <c r="H53" i="7" s="1"/>
  <c r="E38" i="7"/>
  <c r="E36" i="7"/>
  <c r="E34" i="7"/>
  <c r="E32" i="7"/>
  <c r="E30" i="7"/>
  <c r="E28" i="7"/>
  <c r="E24" i="7"/>
  <c r="E22" i="7"/>
  <c r="E80" i="7"/>
  <c r="H80" i="7" s="1"/>
  <c r="E21" i="7"/>
  <c r="M62" i="7"/>
  <c r="H62" i="7"/>
  <c r="I72" i="7"/>
  <c r="H72" i="7"/>
  <c r="I90" i="7"/>
  <c r="H63" i="8"/>
  <c r="M82" i="8"/>
  <c r="I82" i="8"/>
  <c r="I87" i="8"/>
  <c r="H87" i="8"/>
  <c r="M87" i="8"/>
  <c r="E95" i="4"/>
  <c r="E90" i="4"/>
  <c r="H90" i="4" s="1"/>
  <c r="E85" i="4"/>
  <c r="E80" i="4"/>
  <c r="H80" i="4" s="1"/>
  <c r="E75" i="4"/>
  <c r="H75" i="4" s="1"/>
  <c r="E70" i="4"/>
  <c r="H70" i="4" s="1"/>
  <c r="E62" i="4"/>
  <c r="H62" i="4" s="1"/>
  <c r="E54" i="4"/>
  <c r="H54" i="4" s="1"/>
  <c r="E46" i="4"/>
  <c r="H46" i="4" s="1"/>
  <c r="E38" i="4"/>
  <c r="H38" i="4" s="1"/>
  <c r="E30" i="4"/>
  <c r="E22" i="4"/>
  <c r="E84" i="4"/>
  <c r="H84" i="4" s="1"/>
  <c r="E79" i="4"/>
  <c r="H79" i="4" s="1"/>
  <c r="E74" i="4"/>
  <c r="E26" i="4"/>
  <c r="E48" i="4"/>
  <c r="H48" i="4" s="1"/>
  <c r="E53" i="4"/>
  <c r="H53" i="4" s="1"/>
  <c r="E78" i="4"/>
  <c r="H78" i="4" s="1"/>
  <c r="E82" i="4"/>
  <c r="H82" i="4" s="1"/>
  <c r="E86" i="4"/>
  <c r="H86" i="4" s="1"/>
  <c r="E88" i="4"/>
  <c r="M90" i="4"/>
  <c r="M70" i="5"/>
  <c r="C49" i="6"/>
  <c r="I68" i="6"/>
  <c r="M68" i="6"/>
  <c r="M81" i="6"/>
  <c r="I81" i="6"/>
  <c r="H81" i="6"/>
  <c r="M58" i="7"/>
  <c r="E96" i="7"/>
  <c r="H96" i="7"/>
  <c r="H101" i="7"/>
  <c r="I101" i="7"/>
  <c r="H56" i="8"/>
  <c r="M56" i="8"/>
  <c r="H99" i="8"/>
  <c r="E104" i="8"/>
  <c r="M104" i="8"/>
  <c r="M57" i="9"/>
  <c r="H72" i="9"/>
  <c r="H75" i="9"/>
  <c r="M75" i="9"/>
  <c r="M94" i="4"/>
  <c r="H99" i="4"/>
  <c r="H50" i="5"/>
  <c r="H66" i="7"/>
  <c r="M82" i="7"/>
  <c r="H100" i="7"/>
  <c r="G18" i="8"/>
  <c r="H49" i="8"/>
  <c r="I60" i="8"/>
  <c r="E102" i="8"/>
  <c r="H102" i="8" s="1"/>
  <c r="M102" i="8"/>
  <c r="M101" i="11"/>
  <c r="H101" i="11"/>
  <c r="I101" i="11"/>
  <c r="M79" i="5"/>
  <c r="H81" i="5"/>
  <c r="H96" i="5"/>
  <c r="H84" i="7"/>
  <c r="H94" i="7"/>
  <c r="M54" i="8"/>
  <c r="I79" i="8"/>
  <c r="H79" i="8"/>
  <c r="M79" i="8"/>
  <c r="M91" i="8"/>
  <c r="M67" i="9"/>
  <c r="M83" i="9"/>
  <c r="I83" i="9"/>
  <c r="G18" i="10"/>
  <c r="H100" i="10"/>
  <c r="M100" i="10"/>
  <c r="I100" i="10"/>
  <c r="H55" i="7"/>
  <c r="M92" i="7"/>
  <c r="M98" i="7"/>
  <c r="H98" i="7"/>
  <c r="H52" i="8"/>
  <c r="M98" i="8"/>
  <c r="I98" i="8"/>
  <c r="M89" i="10"/>
  <c r="H89" i="10"/>
  <c r="I85" i="11"/>
  <c r="I86" i="12"/>
  <c r="M86" i="12"/>
  <c r="H86" i="12"/>
  <c r="M50" i="7"/>
  <c r="I50" i="7"/>
  <c r="M75" i="7"/>
  <c r="H77" i="7"/>
  <c r="M103" i="8"/>
  <c r="M61" i="9"/>
  <c r="M93" i="9"/>
  <c r="I93" i="9"/>
  <c r="H93" i="9"/>
  <c r="M98" i="9"/>
  <c r="M86" i="10"/>
  <c r="H86" i="10"/>
  <c r="I86" i="10"/>
  <c r="M101" i="10"/>
  <c r="I101" i="10"/>
  <c r="I76" i="11"/>
  <c r="H76" i="11"/>
  <c r="M76" i="11"/>
  <c r="I96" i="11"/>
  <c r="M96" i="11"/>
  <c r="H88" i="6"/>
  <c r="H52" i="7"/>
  <c r="I75" i="7"/>
  <c r="M77" i="7"/>
  <c r="H87" i="7"/>
  <c r="M89" i="7"/>
  <c r="E95" i="7"/>
  <c r="H95" i="7" s="1"/>
  <c r="E103" i="7"/>
  <c r="H103" i="7" s="1"/>
  <c r="M51" i="8"/>
  <c r="I51" i="8"/>
  <c r="M90" i="8"/>
  <c r="I90" i="8"/>
  <c r="H104" i="8"/>
  <c r="I61" i="9"/>
  <c r="M66" i="9"/>
  <c r="H82" i="9"/>
  <c r="H101" i="10"/>
  <c r="M94" i="11"/>
  <c r="I94" i="11"/>
  <c r="H94" i="11"/>
  <c r="H92" i="5"/>
  <c r="M94" i="5"/>
  <c r="C55" i="6"/>
  <c r="M66" i="7"/>
  <c r="M68" i="7"/>
  <c r="M78" i="7"/>
  <c r="H60" i="8"/>
  <c r="M94" i="12"/>
  <c r="I94" i="12"/>
  <c r="H94" i="12"/>
  <c r="H103" i="12"/>
  <c r="H48" i="8"/>
  <c r="I95" i="8"/>
  <c r="H95" i="8"/>
  <c r="M99" i="8"/>
  <c r="H58" i="9"/>
  <c r="E25" i="10"/>
  <c r="F20" i="20" s="1"/>
  <c r="E30" i="10"/>
  <c r="F25" i="20" s="1"/>
  <c r="E42" i="10"/>
  <c r="F37" i="20" s="1"/>
  <c r="E47" i="10"/>
  <c r="F42" i="20" s="1"/>
  <c r="M82" i="10"/>
  <c r="H85" i="10"/>
  <c r="I85" i="10"/>
  <c r="H88" i="10"/>
  <c r="I88" i="10"/>
  <c r="H96" i="10"/>
  <c r="M96" i="10"/>
  <c r="I96" i="10"/>
  <c r="E68" i="11"/>
  <c r="Q15" i="12"/>
  <c r="R14" i="12"/>
  <c r="R15" i="12" s="1"/>
  <c r="H64" i="9"/>
  <c r="E63" i="11"/>
  <c r="H75" i="11"/>
  <c r="H89" i="12"/>
  <c r="I103" i="8"/>
  <c r="H103" i="8"/>
  <c r="M68" i="9"/>
  <c r="I68" i="9"/>
  <c r="H68" i="9"/>
  <c r="H90" i="9"/>
  <c r="M100" i="9"/>
  <c r="I100" i="9"/>
  <c r="H100" i="9"/>
  <c r="E23" i="10"/>
  <c r="F18" i="20" s="1"/>
  <c r="E40" i="10"/>
  <c r="F35" i="20" s="1"/>
  <c r="E53" i="10"/>
  <c r="F48" i="20" s="1"/>
  <c r="E56" i="10"/>
  <c r="F51" i="20" s="1"/>
  <c r="E79" i="10"/>
  <c r="H99" i="10"/>
  <c r="E93" i="11"/>
  <c r="H93" i="11" s="1"/>
  <c r="E85" i="11"/>
  <c r="H85" i="11" s="1"/>
  <c r="E80" i="11"/>
  <c r="H80" i="11" s="1"/>
  <c r="E81" i="11"/>
  <c r="H81" i="11" s="1"/>
  <c r="E72" i="11"/>
  <c r="H72" i="11" s="1"/>
  <c r="E56" i="11"/>
  <c r="E40" i="11"/>
  <c r="E24" i="11"/>
  <c r="E19" i="11" s="1"/>
  <c r="E97" i="11"/>
  <c r="H97" i="11" s="1"/>
  <c r="E71" i="11"/>
  <c r="H71" i="11" s="1"/>
  <c r="E55" i="11"/>
  <c r="E39" i="11"/>
  <c r="E78" i="11"/>
  <c r="H78" i="11" s="1"/>
  <c r="E62" i="11"/>
  <c r="E46" i="11"/>
  <c r="E90" i="11"/>
  <c r="E69" i="11"/>
  <c r="E53" i="11"/>
  <c r="E37" i="11"/>
  <c r="E86" i="11"/>
  <c r="H86" i="11" s="1"/>
  <c r="E82" i="11"/>
  <c r="H82" i="11" s="1"/>
  <c r="E67" i="11"/>
  <c r="E58" i="11"/>
  <c r="E51" i="11"/>
  <c r="E42" i="11"/>
  <c r="E99" i="11"/>
  <c r="H99" i="11" s="1"/>
  <c r="E29" i="11"/>
  <c r="E96" i="11"/>
  <c r="H96" i="11" s="1"/>
  <c r="E74" i="11"/>
  <c r="H74" i="11" s="1"/>
  <c r="E83" i="11"/>
  <c r="H83" i="11" s="1"/>
  <c r="E64" i="11"/>
  <c r="E59" i="11"/>
  <c r="E76" i="11"/>
  <c r="E48" i="11"/>
  <c r="E43" i="11"/>
  <c r="E77" i="11"/>
  <c r="H77" i="11" s="1"/>
  <c r="E70" i="11"/>
  <c r="E44" i="11"/>
  <c r="E23" i="11"/>
  <c r="E88" i="11"/>
  <c r="H88" i="11" s="1"/>
  <c r="E79" i="11"/>
  <c r="H79" i="11" s="1"/>
  <c r="E57" i="11"/>
  <c r="E49" i="11"/>
  <c r="E36" i="11"/>
  <c r="E25" i="11"/>
  <c r="E54" i="11"/>
  <c r="E27" i="11"/>
  <c r="E87" i="11"/>
  <c r="H87" i="11" s="1"/>
  <c r="E61" i="11"/>
  <c r="E73" i="11"/>
  <c r="H73" i="11" s="1"/>
  <c r="E98" i="11"/>
  <c r="H98" i="11" s="1"/>
  <c r="E34" i="11"/>
  <c r="E31" i="11"/>
  <c r="E35" i="11"/>
  <c r="M81" i="11"/>
  <c r="I81" i="11"/>
  <c r="M90" i="11"/>
  <c r="H90" i="11"/>
  <c r="H72" i="12"/>
  <c r="M72" i="12"/>
  <c r="I72" i="12"/>
  <c r="H74" i="8"/>
  <c r="E76" i="10"/>
  <c r="E60" i="10"/>
  <c r="E92" i="10"/>
  <c r="H92" i="10" s="1"/>
  <c r="E87" i="10"/>
  <c r="H87" i="10" s="1"/>
  <c r="E82" i="10"/>
  <c r="H82" i="10" s="1"/>
  <c r="E90" i="10"/>
  <c r="H90" i="10" s="1"/>
  <c r="E85" i="10"/>
  <c r="E74" i="10"/>
  <c r="E71" i="10"/>
  <c r="E81" i="10"/>
  <c r="H81" i="10" s="1"/>
  <c r="E66" i="10"/>
  <c r="E51" i="10"/>
  <c r="F46" i="20" s="1"/>
  <c r="E94" i="10"/>
  <c r="H94" i="10" s="1"/>
  <c r="E69" i="10"/>
  <c r="E49" i="10"/>
  <c r="F44" i="20" s="1"/>
  <c r="E91" i="10"/>
  <c r="H91" i="10" s="1"/>
  <c r="E55" i="10"/>
  <c r="F50" i="20" s="1"/>
  <c r="E68" i="10"/>
  <c r="E89" i="10"/>
  <c r="E80" i="10"/>
  <c r="E67" i="10"/>
  <c r="E65" i="10"/>
  <c r="E63" i="10"/>
  <c r="E70" i="10"/>
  <c r="E62" i="10"/>
  <c r="E52" i="10"/>
  <c r="F47" i="20" s="1"/>
  <c r="E50" i="10"/>
  <c r="F45" i="20" s="1"/>
  <c r="E37" i="10"/>
  <c r="F32" i="20" s="1"/>
  <c r="E28" i="10"/>
  <c r="F23" i="20" s="1"/>
  <c r="E21" i="10"/>
  <c r="E72" i="10"/>
  <c r="E58" i="10"/>
  <c r="E54" i="10"/>
  <c r="F49" i="20" s="1"/>
  <c r="E48" i="10"/>
  <c r="F43" i="20" s="1"/>
  <c r="E35" i="10"/>
  <c r="F30" i="20" s="1"/>
  <c r="E59" i="10"/>
  <c r="E61" i="10"/>
  <c r="E97" i="10"/>
  <c r="H97" i="10" s="1"/>
  <c r="M82" i="11"/>
  <c r="I91" i="11"/>
  <c r="H91" i="11"/>
  <c r="E81" i="8"/>
  <c r="H81" i="8" s="1"/>
  <c r="E73" i="8"/>
  <c r="H73" i="8" s="1"/>
  <c r="E65" i="8"/>
  <c r="H65" i="8" s="1"/>
  <c r="E57" i="8"/>
  <c r="E49" i="8"/>
  <c r="E41" i="8"/>
  <c r="F36" i="18" s="1"/>
  <c r="E33" i="8"/>
  <c r="F28" i="18" s="1"/>
  <c r="E25" i="8"/>
  <c r="F20" i="18" s="1"/>
  <c r="E76" i="8"/>
  <c r="E68" i="8"/>
  <c r="H68" i="8" s="1"/>
  <c r="E60" i="8"/>
  <c r="E52" i="8"/>
  <c r="E44" i="8"/>
  <c r="F39" i="18" s="1"/>
  <c r="E36" i="8"/>
  <c r="F31" i="18" s="1"/>
  <c r="E28" i="8"/>
  <c r="F23" i="18" s="1"/>
  <c r="E24" i="8"/>
  <c r="F19" i="18" s="1"/>
  <c r="E26" i="8"/>
  <c r="F21" i="18" s="1"/>
  <c r="E62" i="8"/>
  <c r="H62" i="8" s="1"/>
  <c r="E75" i="8"/>
  <c r="E29" i="10"/>
  <c r="F24" i="20" s="1"/>
  <c r="E34" i="10"/>
  <c r="F29" i="20" s="1"/>
  <c r="M81" i="10"/>
  <c r="H103" i="10"/>
  <c r="I103" i="10"/>
  <c r="M91" i="11"/>
  <c r="M91" i="12"/>
  <c r="H91" i="12"/>
  <c r="E89" i="9"/>
  <c r="H89" i="9" s="1"/>
  <c r="E81" i="9"/>
  <c r="H81" i="9" s="1"/>
  <c r="E73" i="9"/>
  <c r="H73" i="9" s="1"/>
  <c r="E65" i="9"/>
  <c r="H65" i="9" s="1"/>
  <c r="E57" i="9"/>
  <c r="H57" i="9" s="1"/>
  <c r="E36" i="9"/>
  <c r="F31" i="19" s="1"/>
  <c r="E47" i="9"/>
  <c r="F42" i="19" s="1"/>
  <c r="E75" i="9"/>
  <c r="E80" i="9"/>
  <c r="H80" i="9" s="1"/>
  <c r="M90" i="10"/>
  <c r="F22" i="11"/>
  <c r="F19" i="11" s="1"/>
  <c r="M74" i="11"/>
  <c r="M73" i="12"/>
  <c r="M92" i="10"/>
  <c r="E103" i="11"/>
  <c r="H103" i="11" s="1"/>
  <c r="H87" i="12"/>
  <c r="M104" i="12"/>
  <c r="H104" i="12"/>
  <c r="F21" i="10"/>
  <c r="F18" i="10" s="1"/>
  <c r="H102" i="10"/>
  <c r="M93" i="11"/>
  <c r="M93" i="12"/>
  <c r="H82" i="12"/>
  <c r="M82" i="12"/>
  <c r="E23" i="9"/>
  <c r="E39" i="9"/>
  <c r="F34" i="19" s="1"/>
  <c r="E52" i="9"/>
  <c r="F47" i="19" s="1"/>
  <c r="E61" i="9"/>
  <c r="H61" i="9" s="1"/>
  <c r="E66" i="9"/>
  <c r="E71" i="9"/>
  <c r="E93" i="9"/>
  <c r="M94" i="10"/>
  <c r="I105" i="11"/>
  <c r="H105" i="11"/>
  <c r="M105" i="11"/>
  <c r="M99" i="10"/>
  <c r="H100" i="11"/>
  <c r="I100" i="11"/>
  <c r="M76" i="12"/>
  <c r="H76" i="12"/>
  <c r="M91" i="10"/>
  <c r="H70" i="11"/>
  <c r="I77" i="11"/>
  <c r="M77" i="11"/>
  <c r="M88" i="11"/>
  <c r="I99" i="11"/>
  <c r="M77" i="12"/>
  <c r="I77" i="12"/>
  <c r="H93" i="10"/>
  <c r="M74" i="12"/>
  <c r="I74" i="12"/>
  <c r="M89" i="12"/>
  <c r="I89" i="12"/>
  <c r="I97" i="12"/>
  <c r="M97" i="12"/>
  <c r="H97" i="12"/>
  <c r="H95" i="10"/>
  <c r="H95" i="11"/>
  <c r="H84" i="12"/>
  <c r="I84" i="12"/>
  <c r="M84" i="12"/>
  <c r="H98" i="10"/>
  <c r="I83" i="11"/>
  <c r="M83" i="11"/>
  <c r="M83" i="10"/>
  <c r="H83" i="10"/>
  <c r="M103" i="11"/>
  <c r="M70" i="12"/>
  <c r="I70" i="12"/>
  <c r="H70" i="12"/>
  <c r="I99" i="12"/>
  <c r="H99" i="12"/>
  <c r="H95" i="12"/>
  <c r="M83" i="12"/>
  <c r="M88" i="12"/>
  <c r="H153" i="22"/>
  <c r="H2" i="22"/>
  <c r="M85" i="12"/>
  <c r="H83" i="12"/>
  <c r="M95" i="12"/>
  <c r="M87" i="12"/>
  <c r="M103" i="12"/>
  <c r="I105" i="12"/>
  <c r="M105" i="12"/>
  <c r="H105" i="12"/>
  <c r="E99" i="12"/>
  <c r="E81" i="12"/>
  <c r="H81" i="12" s="1"/>
  <c r="E93" i="12"/>
  <c r="H93" i="12" s="1"/>
  <c r="E85" i="12"/>
  <c r="H85" i="12" s="1"/>
  <c r="E80" i="12"/>
  <c r="C80" i="12" s="1"/>
  <c r="E96" i="12"/>
  <c r="H96" i="12" s="1"/>
  <c r="E88" i="12"/>
  <c r="H88" i="12" s="1"/>
  <c r="E78" i="12"/>
  <c r="C78" i="12" s="1"/>
  <c r="E66" i="12"/>
  <c r="E58" i="12"/>
  <c r="E50" i="12"/>
  <c r="E19" i="12" s="1"/>
  <c r="E67" i="12"/>
  <c r="H92" i="12"/>
  <c r="H100" i="12"/>
  <c r="D25" i="22"/>
  <c r="E24" i="22"/>
  <c r="C24" i="22"/>
  <c r="B25" i="22"/>
  <c r="G24" i="22"/>
  <c r="H24" i="22" s="1"/>
  <c r="E69" i="12"/>
  <c r="E98" i="12"/>
  <c r="H98" i="12" s="1"/>
  <c r="G155" i="22"/>
  <c r="A155" i="22"/>
  <c r="A24" i="22"/>
  <c r="E147" i="22"/>
  <c r="E9" i="22"/>
  <c r="B24" i="21"/>
  <c r="E11" i="22" s="1"/>
  <c r="G23" i="22" s="1"/>
  <c r="E13" i="22"/>
  <c r="I24" i="22"/>
  <c r="I12" i="22" s="1"/>
  <c r="I44" i="6" l="1"/>
  <c r="M44" i="6"/>
  <c r="H44" i="6"/>
  <c r="I67" i="6"/>
  <c r="H67" i="6"/>
  <c r="M67" i="6"/>
  <c r="M51" i="6"/>
  <c r="I51" i="6"/>
  <c r="H51" i="6"/>
  <c r="M63" i="6"/>
  <c r="I63" i="6"/>
  <c r="H63" i="6"/>
  <c r="M80" i="12"/>
  <c r="I80" i="12"/>
  <c r="H80" i="12"/>
  <c r="M39" i="6"/>
  <c r="I39" i="6"/>
  <c r="H39" i="6"/>
  <c r="I57" i="6"/>
  <c r="H57" i="6"/>
  <c r="M57" i="6"/>
  <c r="T34" i="6"/>
  <c r="M66" i="6"/>
  <c r="I66" i="6"/>
  <c r="H66" i="6"/>
  <c r="T77" i="10"/>
  <c r="C77" i="10" s="1"/>
  <c r="M59" i="6"/>
  <c r="I59" i="6"/>
  <c r="H59" i="6"/>
  <c r="T66" i="10"/>
  <c r="C66" i="10" s="1"/>
  <c r="T31" i="4"/>
  <c r="D2" i="2"/>
  <c r="I23" i="1" s="1"/>
  <c r="B3" i="2"/>
  <c r="F38" i="17"/>
  <c r="H43" i="5"/>
  <c r="H104" i="5"/>
  <c r="F22" i="15"/>
  <c r="F22" i="17"/>
  <c r="F17" i="15"/>
  <c r="F17" i="17"/>
  <c r="F23" i="15"/>
  <c r="F23" i="17"/>
  <c r="E17" i="3"/>
  <c r="T31" i="10"/>
  <c r="T47" i="10"/>
  <c r="H49" i="6"/>
  <c r="M49" i="6"/>
  <c r="I49" i="6"/>
  <c r="E144" i="22"/>
  <c r="B22" i="21" s="1"/>
  <c r="F24" i="22"/>
  <c r="F144" i="22" s="1"/>
  <c r="B23" i="21"/>
  <c r="B30" i="21" s="1"/>
  <c r="M64" i="6"/>
  <c r="H64" i="6"/>
  <c r="I64" i="6"/>
  <c r="G144" i="22"/>
  <c r="I23" i="22"/>
  <c r="I144" i="22" s="1"/>
  <c r="B26" i="21" s="1"/>
  <c r="H23" i="22"/>
  <c r="F21" i="15"/>
  <c r="F21" i="17"/>
  <c r="T59" i="10"/>
  <c r="C59" i="10" s="1"/>
  <c r="A25" i="22"/>
  <c r="D26" i="22"/>
  <c r="B26" i="22"/>
  <c r="C25" i="22"/>
  <c r="I25" i="22"/>
  <c r="G25" i="22"/>
  <c r="H25" i="22" s="1"/>
  <c r="E25" i="22"/>
  <c r="F25" i="22" s="1"/>
  <c r="T26" i="10"/>
  <c r="T79" i="10"/>
  <c r="C79" i="10" s="1"/>
  <c r="F16" i="16"/>
  <c r="E18" i="6"/>
  <c r="E7" i="16"/>
  <c r="E8" i="16" s="1"/>
  <c r="K20" i="6"/>
  <c r="K18" i="6" s="1"/>
  <c r="J20" i="6"/>
  <c r="J18" i="6" s="1"/>
  <c r="T35" i="6"/>
  <c r="T31" i="6"/>
  <c r="G6" i="6"/>
  <c r="T38" i="6"/>
  <c r="L20" i="6"/>
  <c r="L18" i="6" s="1"/>
  <c r="T23" i="6"/>
  <c r="T32" i="6"/>
  <c r="H61" i="6"/>
  <c r="M61" i="6"/>
  <c r="I61" i="6"/>
  <c r="T37" i="6"/>
  <c r="M53" i="6"/>
  <c r="I53" i="6"/>
  <c r="H53" i="6"/>
  <c r="F24" i="15"/>
  <c r="F24" i="17"/>
  <c r="K21" i="11"/>
  <c r="K19" i="11" s="1"/>
  <c r="G6" i="11"/>
  <c r="J21" i="11"/>
  <c r="J19" i="11" s="1"/>
  <c r="L21" i="11"/>
  <c r="L19" i="11" s="1"/>
  <c r="F25" i="15"/>
  <c r="F25" i="17"/>
  <c r="F6" i="12"/>
  <c r="C21" i="12" s="1"/>
  <c r="F6" i="9"/>
  <c r="G6" i="9" s="1"/>
  <c r="E10" i="19" s="1"/>
  <c r="C15" i="19" s="1"/>
  <c r="F6" i="8"/>
  <c r="F6" i="5"/>
  <c r="F6" i="11"/>
  <c r="F6" i="10"/>
  <c r="S22" i="1"/>
  <c r="U22" i="1" s="1"/>
  <c r="V22" i="1" s="1"/>
  <c r="O22" i="1"/>
  <c r="P22" i="1" s="1"/>
  <c r="F6" i="4"/>
  <c r="AD22" i="1"/>
  <c r="AF22" i="1" s="1"/>
  <c r="F6" i="6"/>
  <c r="F6" i="7"/>
  <c r="AA22" i="1"/>
  <c r="AB22" i="1" s="1"/>
  <c r="M22" i="1"/>
  <c r="Y22" i="1"/>
  <c r="E7" i="19"/>
  <c r="E8" i="19" s="1"/>
  <c r="L20" i="9"/>
  <c r="L18" i="9" s="1"/>
  <c r="K20" i="9"/>
  <c r="K18" i="9" s="1"/>
  <c r="J20" i="9"/>
  <c r="J18" i="9" s="1"/>
  <c r="H145" i="22"/>
  <c r="E10" i="22"/>
  <c r="F18" i="19"/>
  <c r="E18" i="9"/>
  <c r="E18" i="7"/>
  <c r="C13" i="2"/>
  <c r="E7" i="18"/>
  <c r="E8" i="18" s="1"/>
  <c r="L20" i="8"/>
  <c r="L18" i="8" s="1"/>
  <c r="K20" i="8"/>
  <c r="K18" i="8" s="1"/>
  <c r="J20" i="8"/>
  <c r="J18" i="8" s="1"/>
  <c r="G2" i="2"/>
  <c r="E3" i="2"/>
  <c r="F26" i="17"/>
  <c r="F26" i="15"/>
  <c r="M55" i="6"/>
  <c r="I55" i="6"/>
  <c r="H55" i="6"/>
  <c r="I54" i="6"/>
  <c r="H54" i="6"/>
  <c r="M54" i="6"/>
  <c r="F32" i="15"/>
  <c r="F32" i="17"/>
  <c r="T45" i="10"/>
  <c r="T62" i="10"/>
  <c r="C62" i="10" s="1"/>
  <c r="F19" i="17"/>
  <c r="F19" i="15"/>
  <c r="T33" i="6"/>
  <c r="H62" i="9"/>
  <c r="G18" i="9"/>
  <c r="F33" i="15"/>
  <c r="F33" i="17"/>
  <c r="J3" i="2"/>
  <c r="U24" i="1" s="1"/>
  <c r="H4" i="2"/>
  <c r="F20" i="17"/>
  <c r="F20" i="15"/>
  <c r="F29" i="17"/>
  <c r="F29" i="15"/>
  <c r="K3" i="2"/>
  <c r="M2" i="2"/>
  <c r="AA23" i="1" s="1"/>
  <c r="E7" i="20"/>
  <c r="E8" i="20" s="1"/>
  <c r="L20" i="10"/>
  <c r="L18" i="10" s="1"/>
  <c r="G6" i="10"/>
  <c r="T57" i="10" s="1"/>
  <c r="C57" i="10" s="1"/>
  <c r="K20" i="10"/>
  <c r="K18" i="10" s="1"/>
  <c r="J20" i="10"/>
  <c r="J18" i="10" s="1"/>
  <c r="T58" i="10"/>
  <c r="C58" i="10" s="1"/>
  <c r="T30" i="10"/>
  <c r="T54" i="10"/>
  <c r="T32" i="10"/>
  <c r="T44" i="10"/>
  <c r="T21" i="10"/>
  <c r="T75" i="10"/>
  <c r="C75" i="10" s="1"/>
  <c r="T51" i="10"/>
  <c r="T39" i="10"/>
  <c r="T74" i="10"/>
  <c r="C74" i="10" s="1"/>
  <c r="T64" i="10"/>
  <c r="C64" i="10" s="1"/>
  <c r="T28" i="10"/>
  <c r="T68" i="10"/>
  <c r="C68" i="10" s="1"/>
  <c r="T56" i="10"/>
  <c r="T48" i="10"/>
  <c r="T52" i="10"/>
  <c r="T36" i="10"/>
  <c r="T53" i="10"/>
  <c r="T35" i="10"/>
  <c r="T41" i="10"/>
  <c r="T78" i="10"/>
  <c r="C78" i="10" s="1"/>
  <c r="T37" i="10"/>
  <c r="H45" i="6"/>
  <c r="M45" i="6"/>
  <c r="I45" i="6"/>
  <c r="F19" i="2"/>
  <c r="F18" i="15"/>
  <c r="F18" i="17"/>
  <c r="T27" i="10"/>
  <c r="T27" i="6"/>
  <c r="I47" i="6"/>
  <c r="M47" i="6"/>
  <c r="H47" i="6"/>
  <c r="F27" i="17"/>
  <c r="F27" i="15"/>
  <c r="T63" i="10"/>
  <c r="C63" i="10" s="1"/>
  <c r="J21" i="12"/>
  <c r="J19" i="12" s="1"/>
  <c r="T40" i="12"/>
  <c r="T35" i="12"/>
  <c r="T50" i="12"/>
  <c r="T33" i="12"/>
  <c r="T28" i="12"/>
  <c r="T37" i="12"/>
  <c r="T27" i="12"/>
  <c r="T60" i="12"/>
  <c r="T22" i="12"/>
  <c r="T53" i="12"/>
  <c r="T44" i="12"/>
  <c r="T69" i="12"/>
  <c r="T56" i="12"/>
  <c r="T39" i="12"/>
  <c r="T48" i="12"/>
  <c r="T23" i="12"/>
  <c r="K21" i="12"/>
  <c r="K19" i="12" s="1"/>
  <c r="T25" i="12"/>
  <c r="T24" i="12"/>
  <c r="L21" i="12"/>
  <c r="L19" i="12" s="1"/>
  <c r="G6" i="12"/>
  <c r="T66" i="12" s="1"/>
  <c r="T68" i="12"/>
  <c r="T29" i="12"/>
  <c r="T43" i="12"/>
  <c r="T26" i="12"/>
  <c r="G18" i="5"/>
  <c r="F28" i="17"/>
  <c r="F28" i="15"/>
  <c r="M58" i="6"/>
  <c r="H58" i="6"/>
  <c r="I58" i="6"/>
  <c r="F16" i="20"/>
  <c r="E18" i="10"/>
  <c r="E7" i="14"/>
  <c r="E8" i="14" s="1"/>
  <c r="K19" i="4"/>
  <c r="K17" i="4" s="1"/>
  <c r="T21" i="4"/>
  <c r="T26" i="4"/>
  <c r="T24" i="4"/>
  <c r="T20" i="4"/>
  <c r="G6" i="4"/>
  <c r="L19" i="4"/>
  <c r="L17" i="4" s="1"/>
  <c r="J19" i="4"/>
  <c r="J17" i="4" s="1"/>
  <c r="T28" i="4"/>
  <c r="T27" i="4"/>
  <c r="T25" i="4"/>
  <c r="T29" i="4"/>
  <c r="F16" i="15"/>
  <c r="F16" i="17"/>
  <c r="E18" i="5"/>
  <c r="F30" i="17"/>
  <c r="F30" i="15"/>
  <c r="H78" i="12"/>
  <c r="I78" i="12"/>
  <c r="M78" i="12"/>
  <c r="E17" i="4"/>
  <c r="E7" i="17"/>
  <c r="E8" i="17" s="1"/>
  <c r="J20" i="7"/>
  <c r="J18" i="7" s="1"/>
  <c r="K20" i="7"/>
  <c r="K18" i="7" s="1"/>
  <c r="L20" i="7"/>
  <c r="L18" i="7" s="1"/>
  <c r="G6" i="7"/>
  <c r="E10" i="17" s="1"/>
  <c r="C15" i="17" s="1"/>
  <c r="E9" i="13"/>
  <c r="C19" i="3"/>
  <c r="C29" i="3"/>
  <c r="C25" i="3"/>
  <c r="C26" i="3"/>
  <c r="C24" i="3"/>
  <c r="F31" i="17"/>
  <c r="F31" i="15"/>
  <c r="T24" i="10"/>
  <c r="E18" i="8"/>
  <c r="T23" i="4"/>
  <c r="O23" i="1"/>
  <c r="G22" i="1"/>
  <c r="I22" i="1" s="1"/>
  <c r="J22" i="1" s="1"/>
  <c r="D15" i="13"/>
  <c r="I57" i="10" l="1"/>
  <c r="H57" i="10"/>
  <c r="M57" i="10"/>
  <c r="M59" i="10"/>
  <c r="H59" i="10"/>
  <c r="I59" i="10"/>
  <c r="E9" i="18"/>
  <c r="C20" i="8"/>
  <c r="G6" i="8"/>
  <c r="C20" i="13"/>
  <c r="I24" i="3"/>
  <c r="D20" i="13" s="1"/>
  <c r="C21" i="13"/>
  <c r="I25" i="3"/>
  <c r="D21" i="13" s="1"/>
  <c r="D15" i="19"/>
  <c r="H74" i="10"/>
  <c r="I74" i="10"/>
  <c r="M74" i="10"/>
  <c r="E9" i="15"/>
  <c r="C35" i="5"/>
  <c r="C33" i="5"/>
  <c r="C32" i="5"/>
  <c r="C30" i="5"/>
  <c r="C28" i="5"/>
  <c r="C26" i="5"/>
  <c r="C25" i="5"/>
  <c r="C20" i="5"/>
  <c r="C36" i="5"/>
  <c r="C38" i="5"/>
  <c r="C37" i="5"/>
  <c r="C34" i="5"/>
  <c r="C29" i="5"/>
  <c r="C21" i="5"/>
  <c r="C22" i="5"/>
  <c r="C27" i="5"/>
  <c r="C31" i="5"/>
  <c r="C24" i="5"/>
  <c r="C23" i="5"/>
  <c r="G6" i="5"/>
  <c r="E10" i="15" s="1"/>
  <c r="C15" i="15" s="1"/>
  <c r="C25" i="13"/>
  <c r="I29" i="3"/>
  <c r="D25" i="13" s="1"/>
  <c r="M75" i="10"/>
  <c r="H75" i="10"/>
  <c r="I75" i="10"/>
  <c r="H78" i="10"/>
  <c r="M78" i="10"/>
  <c r="I78" i="10"/>
  <c r="D15" i="17"/>
  <c r="M19" i="3"/>
  <c r="I19" i="3"/>
  <c r="N19" i="3"/>
  <c r="H19" i="3"/>
  <c r="H58" i="10"/>
  <c r="M58" i="10"/>
  <c r="I58" i="10"/>
  <c r="C30" i="3"/>
  <c r="T57" i="12"/>
  <c r="T31" i="12"/>
  <c r="T62" i="12"/>
  <c r="H63" i="10"/>
  <c r="I63" i="10"/>
  <c r="M63" i="10"/>
  <c r="M68" i="10"/>
  <c r="I68" i="10"/>
  <c r="H68" i="10"/>
  <c r="C28" i="3"/>
  <c r="C21" i="3"/>
  <c r="T30" i="12"/>
  <c r="T49" i="12"/>
  <c r="T64" i="12"/>
  <c r="E4" i="2"/>
  <c r="G3" i="2"/>
  <c r="O24" i="1" s="1"/>
  <c r="E9" i="14"/>
  <c r="C19" i="4"/>
  <c r="T67" i="10"/>
  <c r="C67" i="10" s="1"/>
  <c r="B28" i="21"/>
  <c r="B29" i="21" s="1"/>
  <c r="B31" i="21" s="1"/>
  <c r="B27" i="21"/>
  <c r="J4" i="2"/>
  <c r="U25" i="1" s="1"/>
  <c r="H5" i="2"/>
  <c r="M77" i="10"/>
  <c r="I77" i="10"/>
  <c r="H77" i="10"/>
  <c r="T55" i="12"/>
  <c r="T61" i="12"/>
  <c r="I64" i="10"/>
  <c r="H64" i="10"/>
  <c r="M64" i="10"/>
  <c r="E10" i="20"/>
  <c r="C15" i="20" s="1"/>
  <c r="T76" i="10"/>
  <c r="C76" i="10" s="1"/>
  <c r="T73" i="10"/>
  <c r="C73" i="10" s="1"/>
  <c r="T40" i="10"/>
  <c r="T61" i="10"/>
  <c r="C61" i="10" s="1"/>
  <c r="T25" i="10"/>
  <c r="T55" i="10"/>
  <c r="T65" i="10"/>
  <c r="C65" i="10" s="1"/>
  <c r="T80" i="10"/>
  <c r="C80" i="10" s="1"/>
  <c r="T38" i="10"/>
  <c r="T29" i="10"/>
  <c r="T60" i="10"/>
  <c r="C60" i="10" s="1"/>
  <c r="T22" i="10"/>
  <c r="T70" i="10"/>
  <c r="C70" i="10" s="1"/>
  <c r="T34" i="10"/>
  <c r="T72" i="10"/>
  <c r="C72" i="10" s="1"/>
  <c r="T42" i="10"/>
  <c r="T69" i="10"/>
  <c r="C69" i="10" s="1"/>
  <c r="M62" i="10"/>
  <c r="H62" i="10"/>
  <c r="I62" i="10"/>
  <c r="I79" i="10"/>
  <c r="M79" i="10"/>
  <c r="H79" i="10"/>
  <c r="C20" i="3"/>
  <c r="T59" i="12"/>
  <c r="T51" i="12"/>
  <c r="T63" i="12"/>
  <c r="T67" i="12"/>
  <c r="T65" i="12"/>
  <c r="T54" i="12"/>
  <c r="T38" i="12"/>
  <c r="D3" i="2"/>
  <c r="I24" i="1" s="1"/>
  <c r="B4" i="2"/>
  <c r="M3" i="2"/>
  <c r="AA24" i="1" s="1"/>
  <c r="K4" i="2"/>
  <c r="H21" i="12"/>
  <c r="I21" i="12"/>
  <c r="N21" i="12"/>
  <c r="M21" i="12"/>
  <c r="I66" i="10"/>
  <c r="M66" i="10"/>
  <c r="H66" i="10"/>
  <c r="E10" i="16"/>
  <c r="C15" i="16" s="1"/>
  <c r="T26" i="6"/>
  <c r="T24" i="6"/>
  <c r="T29" i="6"/>
  <c r="T36" i="6"/>
  <c r="T28" i="6"/>
  <c r="T22" i="6"/>
  <c r="C27" i="3"/>
  <c r="T41" i="12"/>
  <c r="T47" i="12"/>
  <c r="T52" i="12"/>
  <c r="T43" i="10"/>
  <c r="T23" i="10"/>
  <c r="E9" i="16"/>
  <c r="C20" i="6"/>
  <c r="E9" i="20"/>
  <c r="C20" i="10"/>
  <c r="T30" i="6"/>
  <c r="B27" i="22"/>
  <c r="G26" i="22"/>
  <c r="H26" i="22" s="1"/>
  <c r="C26" i="22"/>
  <c r="E26" i="22"/>
  <c r="F26" i="22" s="1"/>
  <c r="A26" i="22"/>
  <c r="D27" i="22"/>
  <c r="I26" i="22"/>
  <c r="C22" i="13"/>
  <c r="I26" i="3"/>
  <c r="D22" i="13" s="1"/>
  <c r="E9" i="19"/>
  <c r="C43" i="9"/>
  <c r="C56" i="9"/>
  <c r="C41" i="9"/>
  <c r="C25" i="9"/>
  <c r="C53" i="9"/>
  <c r="C40" i="9"/>
  <c r="C24" i="9"/>
  <c r="C51" i="9"/>
  <c r="C31" i="9"/>
  <c r="C49" i="9"/>
  <c r="C38" i="9"/>
  <c r="C22" i="9"/>
  <c r="C55" i="9"/>
  <c r="C36" i="9"/>
  <c r="C37" i="9"/>
  <c r="C26" i="9"/>
  <c r="C44" i="9"/>
  <c r="C39" i="9"/>
  <c r="C30" i="9"/>
  <c r="C28" i="9"/>
  <c r="C32" i="9"/>
  <c r="C35" i="9"/>
  <c r="C29" i="9"/>
  <c r="C45" i="9"/>
  <c r="C50" i="9"/>
  <c r="C46" i="9"/>
  <c r="C34" i="9"/>
  <c r="C52" i="9"/>
  <c r="C20" i="9"/>
  <c r="C47" i="9" s="1"/>
  <c r="C33" i="9"/>
  <c r="C42" i="9"/>
  <c r="C23" i="9"/>
  <c r="C48" i="9"/>
  <c r="C21" i="9"/>
  <c r="C22" i="3"/>
  <c r="C23" i="3"/>
  <c r="T46" i="12"/>
  <c r="T42" i="12"/>
  <c r="T45" i="12"/>
  <c r="E9" i="17"/>
  <c r="C30" i="7"/>
  <c r="C40" i="7"/>
  <c r="C44" i="7"/>
  <c r="C42" i="7"/>
  <c r="C28" i="7"/>
  <c r="C36" i="7"/>
  <c r="C32" i="7"/>
  <c r="C22" i="7"/>
  <c r="C20" i="7"/>
  <c r="C26" i="7" s="1"/>
  <c r="C37" i="7"/>
  <c r="C23" i="7"/>
  <c r="C39" i="7"/>
  <c r="C35" i="7"/>
  <c r="C41" i="7"/>
  <c r="C31" i="3"/>
  <c r="E10" i="14"/>
  <c r="C15" i="14" s="1"/>
  <c r="T30" i="4"/>
  <c r="T58" i="12"/>
  <c r="T46" i="10"/>
  <c r="T33" i="10"/>
  <c r="C21" i="11"/>
  <c r="T21" i="6"/>
  <c r="T22" i="4"/>
  <c r="T34" i="12"/>
  <c r="T36" i="12"/>
  <c r="T32" i="12"/>
  <c r="T49" i="10"/>
  <c r="T50" i="10"/>
  <c r="T25" i="6"/>
  <c r="T71" i="10"/>
  <c r="C71" i="10" s="1"/>
  <c r="C21" i="17" l="1"/>
  <c r="I26" i="7"/>
  <c r="D21" i="17" s="1"/>
  <c r="C42" i="19"/>
  <c r="I47" i="9"/>
  <c r="D42" i="19" s="1"/>
  <c r="C23" i="17"/>
  <c r="I28" i="7"/>
  <c r="D23" i="17" s="1"/>
  <c r="C22" i="15"/>
  <c r="I27" i="5"/>
  <c r="D22" i="15" s="1"/>
  <c r="C25" i="19"/>
  <c r="I30" i="9"/>
  <c r="D25" i="19" s="1"/>
  <c r="D4" i="2"/>
  <c r="I25" i="1" s="1"/>
  <c r="B5" i="2"/>
  <c r="C27" i="13"/>
  <c r="I31" i="3"/>
  <c r="D27" i="13" s="1"/>
  <c r="C33" i="19"/>
  <c r="I38" i="9"/>
  <c r="D33" i="19" s="1"/>
  <c r="C31" i="7"/>
  <c r="C38" i="7"/>
  <c r="C40" i="19"/>
  <c r="I45" i="9"/>
  <c r="D40" i="19" s="1"/>
  <c r="C44" i="19"/>
  <c r="I49" i="9"/>
  <c r="D44" i="19" s="1"/>
  <c r="I80" i="10"/>
  <c r="M80" i="10"/>
  <c r="H80" i="10"/>
  <c r="E5" i="2"/>
  <c r="G4" i="2"/>
  <c r="O25" i="1" s="1"/>
  <c r="C18" i="15"/>
  <c r="I23" i="5"/>
  <c r="D18" i="15" s="1"/>
  <c r="C27" i="15"/>
  <c r="I32" i="5"/>
  <c r="D27" i="15" s="1"/>
  <c r="C27" i="19"/>
  <c r="I32" i="9"/>
  <c r="D27" i="19" s="1"/>
  <c r="C26" i="13"/>
  <c r="I30" i="3"/>
  <c r="D26" i="13" s="1"/>
  <c r="N21" i="11"/>
  <c r="I21" i="11"/>
  <c r="H21" i="11"/>
  <c r="M21" i="11"/>
  <c r="C47" i="19"/>
  <c r="I52" i="9"/>
  <c r="D47" i="19" s="1"/>
  <c r="D15" i="16"/>
  <c r="H71" i="10"/>
  <c r="M71" i="10"/>
  <c r="I71" i="10"/>
  <c r="C45" i="19"/>
  <c r="I50" i="9"/>
  <c r="D45" i="19" s="1"/>
  <c r="D15" i="15"/>
  <c r="C43" i="7"/>
  <c r="C24" i="7"/>
  <c r="C24" i="19"/>
  <c r="I29" i="9"/>
  <c r="D24" i="19" s="1"/>
  <c r="C26" i="19"/>
  <c r="I31" i="9"/>
  <c r="D26" i="19" s="1"/>
  <c r="M65" i="10"/>
  <c r="I65" i="10"/>
  <c r="H65" i="10"/>
  <c r="C19" i="15"/>
  <c r="I24" i="5"/>
  <c r="D19" i="15" s="1"/>
  <c r="C28" i="15"/>
  <c r="I33" i="5"/>
  <c r="D28" i="15" s="1"/>
  <c r="C37" i="17"/>
  <c r="I42" i="7"/>
  <c r="D37" i="17" s="1"/>
  <c r="C17" i="13"/>
  <c r="I21" i="3"/>
  <c r="D17" i="13" s="1"/>
  <c r="C17" i="17"/>
  <c r="I22" i="7"/>
  <c r="D17" i="17" s="1"/>
  <c r="H67" i="10"/>
  <c r="M67" i="10"/>
  <c r="I67" i="10"/>
  <c r="C20" i="15"/>
  <c r="I25" i="5"/>
  <c r="D20" i="15" s="1"/>
  <c r="C29" i="19"/>
  <c r="I34" i="9"/>
  <c r="D29" i="19" s="1"/>
  <c r="C31" i="17"/>
  <c r="I36" i="7"/>
  <c r="D31" i="17" s="1"/>
  <c r="C25" i="15"/>
  <c r="I30" i="5"/>
  <c r="D25" i="15" s="1"/>
  <c r="C27" i="7"/>
  <c r="C30" i="19"/>
  <c r="I35" i="9"/>
  <c r="D30" i="19" s="1"/>
  <c r="C46" i="19"/>
  <c r="I51" i="9"/>
  <c r="D46" i="19" s="1"/>
  <c r="D22" i="12"/>
  <c r="C26" i="15"/>
  <c r="I31" i="5"/>
  <c r="D26" i="15" s="1"/>
  <c r="C30" i="15"/>
  <c r="I35" i="5"/>
  <c r="D30" i="15" s="1"/>
  <c r="C33" i="15"/>
  <c r="I38" i="5"/>
  <c r="D33" i="15" s="1"/>
  <c r="C36" i="17"/>
  <c r="I41" i="7"/>
  <c r="D36" i="17" s="1"/>
  <c r="C19" i="19"/>
  <c r="I24" i="9"/>
  <c r="D19" i="19" s="1"/>
  <c r="H6" i="2"/>
  <c r="J5" i="2"/>
  <c r="U26" i="1" s="1"/>
  <c r="C30" i="17"/>
  <c r="I35" i="7"/>
  <c r="D30" i="17" s="1"/>
  <c r="C23" i="19"/>
  <c r="I28" i="9"/>
  <c r="D23" i="19" s="1"/>
  <c r="M61" i="10"/>
  <c r="H61" i="10"/>
  <c r="I61" i="10"/>
  <c r="C17" i="15"/>
  <c r="C34" i="15" s="1"/>
  <c r="I22" i="5"/>
  <c r="D17" i="15" s="1"/>
  <c r="C34" i="17"/>
  <c r="I39" i="7"/>
  <c r="D34" i="17" s="1"/>
  <c r="C48" i="19"/>
  <c r="I53" i="9"/>
  <c r="D48" i="19" s="1"/>
  <c r="C35" i="17"/>
  <c r="I40" i="7"/>
  <c r="D35" i="17" s="1"/>
  <c r="C34" i="19"/>
  <c r="I39" i="9"/>
  <c r="D34" i="19" s="1"/>
  <c r="E10" i="18"/>
  <c r="C15" i="18" s="1"/>
  <c r="T29" i="8"/>
  <c r="T42" i="8"/>
  <c r="T21" i="8"/>
  <c r="T40" i="8"/>
  <c r="T44" i="8"/>
  <c r="T36" i="8"/>
  <c r="T32" i="8"/>
  <c r="T35" i="8"/>
  <c r="T37" i="8"/>
  <c r="T43" i="8"/>
  <c r="T26" i="8"/>
  <c r="T38" i="8"/>
  <c r="T34" i="8"/>
  <c r="T28" i="8"/>
  <c r="T24" i="8"/>
  <c r="T39" i="8"/>
  <c r="T25" i="8"/>
  <c r="T41" i="8"/>
  <c r="T33" i="8"/>
  <c r="T31" i="8"/>
  <c r="T30" i="8"/>
  <c r="T27" i="8"/>
  <c r="T22" i="8"/>
  <c r="T23" i="8"/>
  <c r="C32" i="17"/>
  <c r="I37" i="7"/>
  <c r="D32" i="17" s="1"/>
  <c r="C18" i="19"/>
  <c r="I23" i="9"/>
  <c r="D18" i="19" s="1"/>
  <c r="C36" i="19"/>
  <c r="I41" i="9"/>
  <c r="D36" i="19" s="1"/>
  <c r="M69" i="10"/>
  <c r="H69" i="10"/>
  <c r="I69" i="10"/>
  <c r="M20" i="7"/>
  <c r="N20" i="7"/>
  <c r="I20" i="7"/>
  <c r="H20" i="7"/>
  <c r="C33" i="7"/>
  <c r="C21" i="19"/>
  <c r="I26" i="9"/>
  <c r="D21" i="19" s="1"/>
  <c r="M4" i="2"/>
  <c r="AA25" i="1" s="1"/>
  <c r="K5" i="2"/>
  <c r="C24" i="13"/>
  <c r="I28" i="3"/>
  <c r="D24" i="13" s="1"/>
  <c r="C29" i="7"/>
  <c r="C28" i="19"/>
  <c r="I33" i="9"/>
  <c r="D28" i="19" s="1"/>
  <c r="C38" i="19"/>
  <c r="I43" i="9"/>
  <c r="D38" i="19" s="1"/>
  <c r="C21" i="7"/>
  <c r="C27" i="9"/>
  <c r="N20" i="3"/>
  <c r="D20" i="3"/>
  <c r="C31" i="15"/>
  <c r="I36" i="5"/>
  <c r="D31" i="15" s="1"/>
  <c r="C18" i="13"/>
  <c r="I22" i="3"/>
  <c r="D18" i="13" s="1"/>
  <c r="C23" i="13"/>
  <c r="I27" i="3"/>
  <c r="D23" i="13" s="1"/>
  <c r="C39" i="17"/>
  <c r="I44" i="7"/>
  <c r="D39" i="17" s="1"/>
  <c r="C16" i="15"/>
  <c r="I21" i="5"/>
  <c r="D16" i="15" s="1"/>
  <c r="C18" i="17"/>
  <c r="I23" i="7"/>
  <c r="D18" i="17" s="1"/>
  <c r="C43" i="19"/>
  <c r="I48" i="9"/>
  <c r="D43" i="19" s="1"/>
  <c r="C20" i="19"/>
  <c r="I25" i="9"/>
  <c r="D20" i="19" s="1"/>
  <c r="I73" i="10"/>
  <c r="M73" i="10"/>
  <c r="H73" i="10"/>
  <c r="C24" i="15"/>
  <c r="I29" i="5"/>
  <c r="D24" i="15" s="1"/>
  <c r="C25" i="17"/>
  <c r="I30" i="7"/>
  <c r="D25" i="17" s="1"/>
  <c r="C39" i="19"/>
  <c r="I44" i="9"/>
  <c r="D39" i="19" s="1"/>
  <c r="H76" i="10"/>
  <c r="I76" i="10"/>
  <c r="M76" i="10"/>
  <c r="C29" i="15"/>
  <c r="I34" i="5"/>
  <c r="D29" i="15" s="1"/>
  <c r="C37" i="19"/>
  <c r="I42" i="9"/>
  <c r="D37" i="19" s="1"/>
  <c r="C51" i="19"/>
  <c r="I56" i="9"/>
  <c r="D51" i="19" s="1"/>
  <c r="D15" i="20"/>
  <c r="C32" i="15"/>
  <c r="I37" i="5"/>
  <c r="D32" i="15" s="1"/>
  <c r="I20" i="8"/>
  <c r="N20" i="8"/>
  <c r="M20" i="8"/>
  <c r="H20" i="8"/>
  <c r="C32" i="19"/>
  <c r="I37" i="9"/>
  <c r="D32" i="19" s="1"/>
  <c r="D28" i="22"/>
  <c r="B28" i="22"/>
  <c r="I27" i="22"/>
  <c r="E27" i="22"/>
  <c r="F27" i="22" s="1"/>
  <c r="G27" i="22"/>
  <c r="H27" i="22" s="1"/>
  <c r="C27" i="22"/>
  <c r="A27" i="22"/>
  <c r="I72" i="10"/>
  <c r="M72" i="10"/>
  <c r="H72" i="10"/>
  <c r="C25" i="7"/>
  <c r="I20" i="9"/>
  <c r="N20" i="9"/>
  <c r="H20" i="9"/>
  <c r="M20" i="9"/>
  <c r="C54" i="9"/>
  <c r="M20" i="10"/>
  <c r="N20" i="10"/>
  <c r="I20" i="10"/>
  <c r="H20" i="10"/>
  <c r="C16" i="13"/>
  <c r="I20" i="3"/>
  <c r="D16" i="13" s="1"/>
  <c r="M20" i="3"/>
  <c r="H20" i="3"/>
  <c r="G16" i="13" s="1"/>
  <c r="M70" i="10"/>
  <c r="I70" i="10"/>
  <c r="H70" i="10"/>
  <c r="C17" i="3"/>
  <c r="H20" i="5"/>
  <c r="N20" i="5"/>
  <c r="C18" i="5"/>
  <c r="M20" i="5"/>
  <c r="I20" i="5"/>
  <c r="C21" i="15"/>
  <c r="I26" i="5"/>
  <c r="D21" i="15" s="1"/>
  <c r="C35" i="19"/>
  <c r="I40" i="9"/>
  <c r="D35" i="19" s="1"/>
  <c r="C16" i="19"/>
  <c r="I21" i="9"/>
  <c r="D16" i="19" s="1"/>
  <c r="C31" i="19"/>
  <c r="I36" i="9"/>
  <c r="D31" i="19" s="1"/>
  <c r="C27" i="17"/>
  <c r="I32" i="7"/>
  <c r="D27" i="17" s="1"/>
  <c r="C50" i="19"/>
  <c r="I55" i="9"/>
  <c r="D50" i="19" s="1"/>
  <c r="I20" i="6"/>
  <c r="N20" i="6"/>
  <c r="H20" i="6"/>
  <c r="M20" i="6"/>
  <c r="H60" i="10"/>
  <c r="M60" i="10"/>
  <c r="I60" i="10"/>
  <c r="H19" i="4"/>
  <c r="I19" i="4"/>
  <c r="M19" i="4"/>
  <c r="N19" i="4"/>
  <c r="D15" i="14"/>
  <c r="C34" i="7"/>
  <c r="C19" i="13"/>
  <c r="I23" i="3"/>
  <c r="D19" i="13" s="1"/>
  <c r="I46" i="9"/>
  <c r="D41" i="19" s="1"/>
  <c r="C41" i="19"/>
  <c r="C17" i="19"/>
  <c r="I22" i="9"/>
  <c r="D17" i="19" s="1"/>
  <c r="C23" i="15"/>
  <c r="I28" i="5"/>
  <c r="D23" i="15" s="1"/>
  <c r="C20" i="17" l="1"/>
  <c r="I25" i="7"/>
  <c r="D20" i="17" s="1"/>
  <c r="C28" i="13"/>
  <c r="E16" i="13"/>
  <c r="D20" i="4"/>
  <c r="C22" i="17"/>
  <c r="I27" i="7"/>
  <c r="D22" i="17" s="1"/>
  <c r="C28" i="17"/>
  <c r="I33" i="7"/>
  <c r="D28" i="17" s="1"/>
  <c r="D15" i="18"/>
  <c r="D21" i="3"/>
  <c r="N21" i="3"/>
  <c r="D28" i="13"/>
  <c r="N21" i="8"/>
  <c r="D21" i="8"/>
  <c r="C24" i="17"/>
  <c r="I29" i="7"/>
  <c r="D24" i="17" s="1"/>
  <c r="N21" i="7"/>
  <c r="D21" i="7"/>
  <c r="H21" i="7" s="1"/>
  <c r="C19" i="17"/>
  <c r="I24" i="7"/>
  <c r="D19" i="17" s="1"/>
  <c r="D21" i="10"/>
  <c r="C49" i="19"/>
  <c r="I54" i="9"/>
  <c r="D49" i="19" s="1"/>
  <c r="C18" i="7"/>
  <c r="D21" i="6"/>
  <c r="H7" i="2"/>
  <c r="J6" i="2"/>
  <c r="U27" i="1" s="1"/>
  <c r="C38" i="17"/>
  <c r="I43" i="7"/>
  <c r="D38" i="17" s="1"/>
  <c r="C29" i="17"/>
  <c r="I34" i="7"/>
  <c r="D29" i="17" s="1"/>
  <c r="C22" i="19"/>
  <c r="I27" i="9"/>
  <c r="D22" i="19" s="1"/>
  <c r="D52" i="19" s="1"/>
  <c r="C52" i="19"/>
  <c r="C16" i="17"/>
  <c r="I21" i="7"/>
  <c r="D16" i="17" s="1"/>
  <c r="D34" i="15"/>
  <c r="B6" i="2"/>
  <c r="D5" i="2"/>
  <c r="I26" i="1" s="1"/>
  <c r="N21" i="5"/>
  <c r="D21" i="5"/>
  <c r="I28" i="22"/>
  <c r="E28" i="22"/>
  <c r="F28" i="22" s="1"/>
  <c r="A28" i="22"/>
  <c r="C28" i="22"/>
  <c r="D29" i="22"/>
  <c r="G28" i="22"/>
  <c r="H28" i="22" s="1"/>
  <c r="B29" i="22"/>
  <c r="K6" i="2"/>
  <c r="M5" i="2"/>
  <c r="AA26" i="1" s="1"/>
  <c r="N21" i="9"/>
  <c r="D21" i="9"/>
  <c r="D22" i="11"/>
  <c r="C22" i="11"/>
  <c r="C33" i="17"/>
  <c r="I38" i="7"/>
  <c r="D33" i="17" s="1"/>
  <c r="C18" i="9"/>
  <c r="C26" i="17"/>
  <c r="I31" i="7"/>
  <c r="D26" i="17" s="1"/>
  <c r="C21" i="8"/>
  <c r="AE23" i="1"/>
  <c r="C22" i="12"/>
  <c r="E6" i="2"/>
  <c r="G5" i="2"/>
  <c r="O26" i="1" s="1"/>
  <c r="G16" i="17" l="1"/>
  <c r="H22" i="11"/>
  <c r="M22" i="11"/>
  <c r="I22" i="11"/>
  <c r="K7" i="2"/>
  <c r="M6" i="2"/>
  <c r="AA27" i="1" s="1"/>
  <c r="E16" i="17"/>
  <c r="D30" i="22"/>
  <c r="B30" i="22"/>
  <c r="I29" i="22"/>
  <c r="G29" i="22"/>
  <c r="H29" i="22" s="1"/>
  <c r="E29" i="22"/>
  <c r="F29" i="22" s="1"/>
  <c r="C29" i="22"/>
  <c r="A29" i="22"/>
  <c r="G6" i="2"/>
  <c r="O27" i="1" s="1"/>
  <c r="E7" i="2"/>
  <c r="M22" i="12"/>
  <c r="I22" i="12"/>
  <c r="H22" i="12"/>
  <c r="AD23" i="1"/>
  <c r="AF23" i="1" s="1"/>
  <c r="N22" i="12"/>
  <c r="M21" i="7"/>
  <c r="N22" i="11"/>
  <c r="D40" i="17"/>
  <c r="C40" i="17"/>
  <c r="E16" i="18"/>
  <c r="T23" i="1"/>
  <c r="E16" i="20"/>
  <c r="Z23" i="1"/>
  <c r="C21" i="10"/>
  <c r="C16" i="18"/>
  <c r="H21" i="8"/>
  <c r="M21" i="8"/>
  <c r="I21" i="8"/>
  <c r="D16" i="18" s="1"/>
  <c r="S23" i="1"/>
  <c r="E16" i="19"/>
  <c r="H21" i="9"/>
  <c r="M21" i="9"/>
  <c r="E16" i="15"/>
  <c r="H21" i="5"/>
  <c r="M21" i="5"/>
  <c r="J7" i="2"/>
  <c r="U28" i="1" s="1"/>
  <c r="H8" i="2"/>
  <c r="D22" i="9"/>
  <c r="N22" i="9"/>
  <c r="D22" i="5"/>
  <c r="N22" i="5"/>
  <c r="D6" i="2"/>
  <c r="I27" i="1" s="1"/>
  <c r="B7" i="2"/>
  <c r="E16" i="16"/>
  <c r="N23" i="1"/>
  <c r="C21" i="6"/>
  <c r="N22" i="3"/>
  <c r="D22" i="3"/>
  <c r="N22" i="7"/>
  <c r="D22" i="7"/>
  <c r="E16" i="14"/>
  <c r="H23" i="1"/>
  <c r="C20" i="4"/>
  <c r="D22" i="8"/>
  <c r="E17" i="13"/>
  <c r="H21" i="3"/>
  <c r="M21" i="3"/>
  <c r="G17" i="13" l="1"/>
  <c r="B8" i="2"/>
  <c r="D7" i="2"/>
  <c r="I28" i="1" s="1"/>
  <c r="G30" i="22"/>
  <c r="H30" i="22" s="1"/>
  <c r="C30" i="22"/>
  <c r="B31" i="22"/>
  <c r="E30" i="22"/>
  <c r="F30" i="22" s="1"/>
  <c r="A30" i="22"/>
  <c r="D31" i="22"/>
  <c r="I30" i="22"/>
  <c r="D23" i="11"/>
  <c r="C23" i="11"/>
  <c r="D23" i="5"/>
  <c r="N23" i="5"/>
  <c r="C16" i="14"/>
  <c r="M20" i="4"/>
  <c r="I20" i="4"/>
  <c r="D16" i="14" s="1"/>
  <c r="H20" i="4"/>
  <c r="G23" i="1"/>
  <c r="N20" i="4"/>
  <c r="G16" i="18"/>
  <c r="V23" i="1" s="1"/>
  <c r="C16" i="20"/>
  <c r="I21" i="10"/>
  <c r="D16" i="20" s="1"/>
  <c r="M21" i="10"/>
  <c r="H21" i="10"/>
  <c r="Y23" i="1"/>
  <c r="N21" i="10"/>
  <c r="E17" i="17"/>
  <c r="H22" i="7"/>
  <c r="M22" i="7"/>
  <c r="D23" i="7"/>
  <c r="N23" i="7"/>
  <c r="G16" i="15"/>
  <c r="E8" i="2"/>
  <c r="G7" i="2"/>
  <c r="O28" i="1" s="1"/>
  <c r="E17" i="15"/>
  <c r="M22" i="5"/>
  <c r="H22" i="5"/>
  <c r="G17" i="15" s="1"/>
  <c r="D23" i="12"/>
  <c r="N23" i="9"/>
  <c r="D23" i="9"/>
  <c r="E17" i="19"/>
  <c r="M22" i="9"/>
  <c r="H22" i="9"/>
  <c r="G17" i="19" s="1"/>
  <c r="M7" i="2"/>
  <c r="AA28" i="1" s="1"/>
  <c r="K8" i="2"/>
  <c r="H9" i="2"/>
  <c r="J8" i="2"/>
  <c r="U29" i="1" s="1"/>
  <c r="E18" i="13"/>
  <c r="M22" i="3"/>
  <c r="H22" i="3"/>
  <c r="G18" i="13" s="1"/>
  <c r="C16" i="16"/>
  <c r="M21" i="6"/>
  <c r="I21" i="6"/>
  <c r="D16" i="16" s="1"/>
  <c r="H21" i="6"/>
  <c r="M23" i="1"/>
  <c r="N21" i="6"/>
  <c r="E17" i="18"/>
  <c r="T24" i="1"/>
  <c r="C22" i="8"/>
  <c r="D23" i="3"/>
  <c r="N23" i="3"/>
  <c r="G16" i="19"/>
  <c r="D21" i="4" l="1"/>
  <c r="E18" i="17"/>
  <c r="H23" i="7"/>
  <c r="G18" i="17" s="1"/>
  <c r="M23" i="7"/>
  <c r="B32" i="22"/>
  <c r="I31" i="22"/>
  <c r="G31" i="22"/>
  <c r="H31" i="22" s="1"/>
  <c r="E31" i="22"/>
  <c r="F31" i="22" s="1"/>
  <c r="C31" i="22"/>
  <c r="A31" i="22"/>
  <c r="D32" i="22"/>
  <c r="E19" i="13"/>
  <c r="H23" i="3"/>
  <c r="G19" i="13" s="1"/>
  <c r="M23" i="3"/>
  <c r="D24" i="7"/>
  <c r="N24" i="7"/>
  <c r="G16" i="16"/>
  <c r="P23" i="1" s="1"/>
  <c r="E18" i="19"/>
  <c r="M23" i="9"/>
  <c r="H23" i="9"/>
  <c r="G18" i="19" s="1"/>
  <c r="G16" i="14"/>
  <c r="J23" i="1" s="1"/>
  <c r="E18" i="15"/>
  <c r="M23" i="5"/>
  <c r="H23" i="5"/>
  <c r="G18" i="15" s="1"/>
  <c r="C17" i="18"/>
  <c r="H22" i="8"/>
  <c r="I22" i="8"/>
  <c r="D17" i="18" s="1"/>
  <c r="M22" i="8"/>
  <c r="S24" i="1"/>
  <c r="N22" i="8"/>
  <c r="N24" i="9"/>
  <c r="D24" i="9"/>
  <c r="AE24" i="1"/>
  <c r="C23" i="12"/>
  <c r="D22" i="10"/>
  <c r="B9" i="2"/>
  <c r="D8" i="2"/>
  <c r="I29" i="1" s="1"/>
  <c r="N24" i="5"/>
  <c r="D24" i="5"/>
  <c r="G16" i="20"/>
  <c r="AB23" i="1" s="1"/>
  <c r="H10" i="2"/>
  <c r="J9" i="2"/>
  <c r="U30" i="1" s="1"/>
  <c r="I23" i="11"/>
  <c r="M23" i="11"/>
  <c r="H23" i="11"/>
  <c r="D22" i="6"/>
  <c r="N23" i="11"/>
  <c r="D24" i="3"/>
  <c r="N24" i="3"/>
  <c r="G17" i="17"/>
  <c r="K9" i="2"/>
  <c r="M8" i="2"/>
  <c r="AA29" i="1" s="1"/>
  <c r="E9" i="2"/>
  <c r="G8" i="2"/>
  <c r="O29" i="1" s="1"/>
  <c r="E19" i="15" l="1"/>
  <c r="H24" i="5"/>
  <c r="M24" i="5"/>
  <c r="N25" i="5"/>
  <c r="D25" i="5"/>
  <c r="D24" i="11"/>
  <c r="C24" i="11"/>
  <c r="D23" i="8"/>
  <c r="E17" i="16"/>
  <c r="N24" i="1"/>
  <c r="C22" i="6"/>
  <c r="D9" i="2"/>
  <c r="I30" i="1" s="1"/>
  <c r="B10" i="2"/>
  <c r="E32" i="22"/>
  <c r="F32" i="22" s="1"/>
  <c r="A32" i="22"/>
  <c r="D33" i="22"/>
  <c r="G32" i="22"/>
  <c r="H32" i="22" s="1"/>
  <c r="I32" i="22"/>
  <c r="C32" i="22"/>
  <c r="B33" i="22"/>
  <c r="D25" i="3"/>
  <c r="N25" i="3"/>
  <c r="E20" i="13"/>
  <c r="M24" i="3"/>
  <c r="H24" i="3"/>
  <c r="G17" i="18"/>
  <c r="V24" i="1" s="1"/>
  <c r="E10" i="2"/>
  <c r="G9" i="2"/>
  <c r="O30" i="1" s="1"/>
  <c r="E17" i="20"/>
  <c r="Z24" i="1"/>
  <c r="C22" i="10"/>
  <c r="N25" i="7"/>
  <c r="D25" i="7"/>
  <c r="K10" i="2"/>
  <c r="M9" i="2"/>
  <c r="AA30" i="1" s="1"/>
  <c r="H11" i="2"/>
  <c r="J10" i="2"/>
  <c r="U31" i="1" s="1"/>
  <c r="M23" i="12"/>
  <c r="I23" i="12"/>
  <c r="H23" i="12"/>
  <c r="AD24" i="1"/>
  <c r="AF24" i="1" s="1"/>
  <c r="N23" i="12"/>
  <c r="E19" i="17"/>
  <c r="M24" i="7"/>
  <c r="H24" i="7"/>
  <c r="G19" i="17" s="1"/>
  <c r="E17" i="14"/>
  <c r="H24" i="1"/>
  <c r="C21" i="4"/>
  <c r="E19" i="19"/>
  <c r="H24" i="9"/>
  <c r="G19" i="19" s="1"/>
  <c r="M24" i="9"/>
  <c r="N25" i="9"/>
  <c r="D25" i="9"/>
  <c r="D24" i="12" l="1"/>
  <c r="I33" i="22"/>
  <c r="G33" i="22"/>
  <c r="H33" i="22" s="1"/>
  <c r="E33" i="22"/>
  <c r="F33" i="22" s="1"/>
  <c r="C33" i="22"/>
  <c r="A33" i="22"/>
  <c r="D34" i="22"/>
  <c r="B34" i="22"/>
  <c r="C17" i="16"/>
  <c r="H22" i="6"/>
  <c r="M22" i="6"/>
  <c r="I22" i="6"/>
  <c r="D17" i="16" s="1"/>
  <c r="M24" i="1"/>
  <c r="N22" i="6"/>
  <c r="E21" i="13"/>
  <c r="M25" i="3"/>
  <c r="H25" i="3"/>
  <c r="G21" i="13" s="1"/>
  <c r="E20" i="19"/>
  <c r="M25" i="9"/>
  <c r="H25" i="9"/>
  <c r="G20" i="19" s="1"/>
  <c r="C17" i="20"/>
  <c r="I22" i="10"/>
  <c r="D17" i="20" s="1"/>
  <c r="H22" i="10"/>
  <c r="M22" i="10"/>
  <c r="Y24" i="1"/>
  <c r="N22" i="10"/>
  <c r="D26" i="3"/>
  <c r="N26" i="3"/>
  <c r="N26" i="9"/>
  <c r="D26" i="9"/>
  <c r="E18" i="18"/>
  <c r="T25" i="1"/>
  <c r="C23" i="8"/>
  <c r="E11" i="2"/>
  <c r="G10" i="2"/>
  <c r="O31" i="1" s="1"/>
  <c r="G19" i="15"/>
  <c r="C17" i="14"/>
  <c r="H21" i="4"/>
  <c r="I21" i="4"/>
  <c r="D17" i="14" s="1"/>
  <c r="M21" i="4"/>
  <c r="G24" i="1"/>
  <c r="N21" i="4"/>
  <c r="E20" i="17"/>
  <c r="H25" i="7"/>
  <c r="G20" i="17" s="1"/>
  <c r="M25" i="7"/>
  <c r="I24" i="11"/>
  <c r="M24" i="11"/>
  <c r="H24" i="11"/>
  <c r="N24" i="11"/>
  <c r="E20" i="15"/>
  <c r="H25" i="5"/>
  <c r="G20" i="15" s="1"/>
  <c r="M25" i="5"/>
  <c r="H12" i="2"/>
  <c r="J11" i="2"/>
  <c r="U32" i="1" s="1"/>
  <c r="D26" i="5"/>
  <c r="N26" i="5"/>
  <c r="K11" i="2"/>
  <c r="M10" i="2"/>
  <c r="AA31" i="1" s="1"/>
  <c r="D26" i="7"/>
  <c r="N26" i="7"/>
  <c r="G20" i="13"/>
  <c r="D10" i="2"/>
  <c r="I31" i="1" s="1"/>
  <c r="B11" i="2"/>
  <c r="D27" i="7" l="1"/>
  <c r="N27" i="7"/>
  <c r="G17" i="16"/>
  <c r="P24" i="1" s="1"/>
  <c r="D23" i="6"/>
  <c r="E21" i="17"/>
  <c r="M26" i="7"/>
  <c r="H26" i="7"/>
  <c r="G21" i="17" s="1"/>
  <c r="E12" i="2"/>
  <c r="G11" i="2"/>
  <c r="O32" i="1" s="1"/>
  <c r="G17" i="20"/>
  <c r="AB24" i="1" s="1"/>
  <c r="B12" i="2"/>
  <c r="D11" i="2"/>
  <c r="I32" i="1" s="1"/>
  <c r="K12" i="2"/>
  <c r="M11" i="2"/>
  <c r="AA32" i="1" s="1"/>
  <c r="C18" i="18"/>
  <c r="M23" i="8"/>
  <c r="H23" i="8"/>
  <c r="I23" i="8"/>
  <c r="D18" i="18" s="1"/>
  <c r="S25" i="1"/>
  <c r="N23" i="8"/>
  <c r="H13" i="2"/>
  <c r="J12" i="2"/>
  <c r="U33" i="1" s="1"/>
  <c r="D27" i="9"/>
  <c r="N27" i="9"/>
  <c r="E22" i="13"/>
  <c r="M26" i="3"/>
  <c r="H26" i="3"/>
  <c r="G22" i="13" s="1"/>
  <c r="C34" i="22"/>
  <c r="B35" i="22"/>
  <c r="E34" i="22"/>
  <c r="F34" i="22" s="1"/>
  <c r="A34" i="22"/>
  <c r="I34" i="22"/>
  <c r="G34" i="22"/>
  <c r="H34" i="22" s="1"/>
  <c r="D35" i="22"/>
  <c r="N27" i="5"/>
  <c r="D27" i="5"/>
  <c r="E21" i="15"/>
  <c r="H26" i="5"/>
  <c r="G21" i="15" s="1"/>
  <c r="M26" i="5"/>
  <c r="D22" i="4"/>
  <c r="E21" i="19"/>
  <c r="H26" i="9"/>
  <c r="G21" i="19" s="1"/>
  <c r="M26" i="9"/>
  <c r="D27" i="3"/>
  <c r="N27" i="3"/>
  <c r="AE25" i="1"/>
  <c r="C24" i="12"/>
  <c r="D25" i="11"/>
  <c r="C25" i="11"/>
  <c r="G17" i="14"/>
  <c r="J24" i="1" s="1"/>
  <c r="D23" i="10"/>
  <c r="G18" i="18" l="1"/>
  <c r="V25" i="1" s="1"/>
  <c r="E13" i="2"/>
  <c r="G12" i="2"/>
  <c r="O33" i="1" s="1"/>
  <c r="G35" i="22"/>
  <c r="H35" i="22" s="1"/>
  <c r="E35" i="22"/>
  <c r="F35" i="22" s="1"/>
  <c r="C35" i="22"/>
  <c r="A35" i="22"/>
  <c r="B36" i="22"/>
  <c r="I35" i="22"/>
  <c r="D36" i="22"/>
  <c r="E18" i="16"/>
  <c r="N25" i="1"/>
  <c r="C23" i="6"/>
  <c r="E18" i="20"/>
  <c r="Z25" i="1"/>
  <c r="C23" i="10"/>
  <c r="E18" i="14"/>
  <c r="H25" i="1"/>
  <c r="C22" i="4"/>
  <c r="K13" i="2"/>
  <c r="M12" i="2"/>
  <c r="AA33" i="1" s="1"/>
  <c r="H25" i="11"/>
  <c r="I25" i="11"/>
  <c r="M25" i="11"/>
  <c r="D28" i="9"/>
  <c r="N28" i="9"/>
  <c r="E22" i="19"/>
  <c r="H27" i="9"/>
  <c r="G22" i="19" s="1"/>
  <c r="M27" i="9"/>
  <c r="D12" i="2"/>
  <c r="I33" i="1" s="1"/>
  <c r="B13" i="2"/>
  <c r="D13" i="2" s="1"/>
  <c r="I34" i="1" s="1"/>
  <c r="N25" i="11"/>
  <c r="E22" i="15"/>
  <c r="H27" i="5"/>
  <c r="G22" i="15" s="1"/>
  <c r="M27" i="5"/>
  <c r="D28" i="5"/>
  <c r="N28" i="5"/>
  <c r="I24" i="12"/>
  <c r="H24" i="12"/>
  <c r="M24" i="12"/>
  <c r="AD25" i="1"/>
  <c r="AF25" i="1" s="1"/>
  <c r="N24" i="12"/>
  <c r="J13" i="2"/>
  <c r="U34" i="1" s="1"/>
  <c r="H14" i="2"/>
  <c r="D28" i="7"/>
  <c r="N28" i="7"/>
  <c r="E23" i="13"/>
  <c r="M27" i="3"/>
  <c r="H27" i="3"/>
  <c r="G23" i="13" s="1"/>
  <c r="D24" i="8"/>
  <c r="E22" i="17"/>
  <c r="M27" i="7"/>
  <c r="H27" i="7"/>
  <c r="G22" i="17" s="1"/>
  <c r="D28" i="3"/>
  <c r="N28" i="3"/>
  <c r="E23" i="19" l="1"/>
  <c r="M28" i="9"/>
  <c r="H28" i="9"/>
  <c r="G23" i="19" s="1"/>
  <c r="C18" i="16"/>
  <c r="I23" i="6"/>
  <c r="D18" i="16" s="1"/>
  <c r="H23" i="6"/>
  <c r="M23" i="6"/>
  <c r="M25" i="1"/>
  <c r="N23" i="6"/>
  <c r="D29" i="5"/>
  <c r="N29" i="5"/>
  <c r="E24" i="13"/>
  <c r="H28" i="3"/>
  <c r="G24" i="13" s="1"/>
  <c r="M28" i="3"/>
  <c r="E19" i="18"/>
  <c r="T26" i="1"/>
  <c r="C24" i="8"/>
  <c r="K14" i="2"/>
  <c r="M13" i="2"/>
  <c r="AA34" i="1" s="1"/>
  <c r="D26" i="11"/>
  <c r="C26" i="11"/>
  <c r="D29" i="7"/>
  <c r="N29" i="7"/>
  <c r="E23" i="17"/>
  <c r="M28" i="7"/>
  <c r="H28" i="7"/>
  <c r="G23" i="17" s="1"/>
  <c r="H15" i="2"/>
  <c r="J14" i="2"/>
  <c r="U35" i="1" s="1"/>
  <c r="D25" i="12"/>
  <c r="E23" i="15"/>
  <c r="M28" i="5"/>
  <c r="H28" i="5"/>
  <c r="G23" i="15" s="1"/>
  <c r="A36" i="22"/>
  <c r="D37" i="22"/>
  <c r="I36" i="22"/>
  <c r="B37" i="22"/>
  <c r="C36" i="22"/>
  <c r="G36" i="22"/>
  <c r="H36" i="22" s="1"/>
  <c r="E36" i="22"/>
  <c r="F36" i="22" s="1"/>
  <c r="C18" i="14"/>
  <c r="I22" i="4"/>
  <c r="D18" i="14" s="1"/>
  <c r="H22" i="4"/>
  <c r="M22" i="4"/>
  <c r="G25" i="1"/>
  <c r="N22" i="4"/>
  <c r="C18" i="20"/>
  <c r="M23" i="10"/>
  <c r="I23" i="10"/>
  <c r="D18" i="20" s="1"/>
  <c r="H23" i="10"/>
  <c r="Y25" i="1"/>
  <c r="N23" i="10"/>
  <c r="E14" i="2"/>
  <c r="G13" i="2"/>
  <c r="O34" i="1" s="1"/>
  <c r="D29" i="3"/>
  <c r="N29" i="3"/>
  <c r="D29" i="9"/>
  <c r="N29" i="9"/>
  <c r="D24" i="10" l="1"/>
  <c r="E37" i="22"/>
  <c r="F37" i="22" s="1"/>
  <c r="C37" i="22"/>
  <c r="A37" i="22"/>
  <c r="B38" i="22"/>
  <c r="I37" i="22"/>
  <c r="G37" i="22"/>
  <c r="H37" i="22" s="1"/>
  <c r="D38" i="22"/>
  <c r="G18" i="16"/>
  <c r="P25" i="1" s="1"/>
  <c r="D30" i="9"/>
  <c r="N30" i="9"/>
  <c r="G14" i="2"/>
  <c r="O35" i="1" s="1"/>
  <c r="E15" i="2"/>
  <c r="D30" i="5"/>
  <c r="N30" i="5"/>
  <c r="E24" i="17"/>
  <c r="M29" i="7"/>
  <c r="H29" i="7"/>
  <c r="G24" i="17" s="1"/>
  <c r="K15" i="2"/>
  <c r="M14" i="2"/>
  <c r="AA35" i="1" s="1"/>
  <c r="G18" i="20"/>
  <c r="AB25" i="1" s="1"/>
  <c r="D30" i="7"/>
  <c r="N30" i="7"/>
  <c r="E24" i="15"/>
  <c r="M29" i="5"/>
  <c r="H29" i="5"/>
  <c r="G24" i="15" s="1"/>
  <c r="D24" i="6"/>
  <c r="M26" i="11"/>
  <c r="I26" i="11"/>
  <c r="H26" i="11"/>
  <c r="D23" i="4"/>
  <c r="N26" i="11"/>
  <c r="E24" i="19"/>
  <c r="H29" i="9"/>
  <c r="G24" i="19" s="1"/>
  <c r="M29" i="9"/>
  <c r="G18" i="14"/>
  <c r="J25" i="1" s="1"/>
  <c r="AE26" i="1"/>
  <c r="C25" i="12"/>
  <c r="D30" i="3"/>
  <c r="N30" i="3"/>
  <c r="C19" i="18"/>
  <c r="I24" i="8"/>
  <c r="D19" i="18" s="1"/>
  <c r="M24" i="8"/>
  <c r="H24" i="8"/>
  <c r="G19" i="18" s="1"/>
  <c r="V26" i="1" s="1"/>
  <c r="S26" i="1"/>
  <c r="N24" i="8"/>
  <c r="E25" i="13"/>
  <c r="M29" i="3"/>
  <c r="H29" i="3"/>
  <c r="G25" i="13" s="1"/>
  <c r="J15" i="2"/>
  <c r="U36" i="1" s="1"/>
  <c r="H16" i="2"/>
  <c r="D31" i="9" l="1"/>
  <c r="N31" i="9"/>
  <c r="E25" i="15"/>
  <c r="H30" i="5"/>
  <c r="G25" i="15" s="1"/>
  <c r="M30" i="5"/>
  <c r="J16" i="2"/>
  <c r="U37" i="1" s="1"/>
  <c r="H17" i="2"/>
  <c r="E19" i="16"/>
  <c r="N26" i="1"/>
  <c r="C24" i="6"/>
  <c r="E25" i="19"/>
  <c r="H30" i="9"/>
  <c r="G25" i="19" s="1"/>
  <c r="M30" i="9"/>
  <c r="E19" i="20"/>
  <c r="Z26" i="1"/>
  <c r="C24" i="10"/>
  <c r="D31" i="5"/>
  <c r="N31" i="5"/>
  <c r="N31" i="7"/>
  <c r="D31" i="7"/>
  <c r="E25" i="17"/>
  <c r="M30" i="7"/>
  <c r="H30" i="7"/>
  <c r="G25" i="17" s="1"/>
  <c r="K16" i="2"/>
  <c r="M15" i="2"/>
  <c r="AA36" i="1" s="1"/>
  <c r="M25" i="12"/>
  <c r="H25" i="12"/>
  <c r="I25" i="12"/>
  <c r="AD26" i="1"/>
  <c r="AF26" i="1" s="1"/>
  <c r="N25" i="12"/>
  <c r="D25" i="8"/>
  <c r="B39" i="22"/>
  <c r="G38" i="22"/>
  <c r="H38" i="22" s="1"/>
  <c r="D39" i="22"/>
  <c r="I38" i="22"/>
  <c r="E38" i="22"/>
  <c r="F38" i="22" s="1"/>
  <c r="A38" i="22"/>
  <c r="C38" i="22"/>
  <c r="D27" i="11"/>
  <c r="C27" i="11"/>
  <c r="E19" i="14"/>
  <c r="H26" i="1"/>
  <c r="C23" i="4"/>
  <c r="D31" i="3"/>
  <c r="N31" i="3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N91" i="3" s="1"/>
  <c r="N92" i="3" s="1"/>
  <c r="N93" i="3" s="1"/>
  <c r="N94" i="3" s="1"/>
  <c r="N95" i="3" s="1"/>
  <c r="N96" i="3" s="1"/>
  <c r="N97" i="3" s="1"/>
  <c r="N98" i="3" s="1"/>
  <c r="N99" i="3" s="1"/>
  <c r="N100" i="3" s="1"/>
  <c r="N101" i="3" s="1"/>
  <c r="N102" i="3" s="1"/>
  <c r="N103" i="3" s="1"/>
  <c r="E26" i="13"/>
  <c r="H30" i="3"/>
  <c r="G26" i="13" s="1"/>
  <c r="M30" i="3"/>
  <c r="E16" i="2"/>
  <c r="G15" i="2"/>
  <c r="O36" i="1" s="1"/>
  <c r="M27" i="11" l="1"/>
  <c r="H27" i="11"/>
  <c r="I27" i="11"/>
  <c r="N27" i="11"/>
  <c r="C19" i="16"/>
  <c r="M24" i="6"/>
  <c r="I24" i="6"/>
  <c r="D19" i="16" s="1"/>
  <c r="H24" i="6"/>
  <c r="G19" i="16" s="1"/>
  <c r="P26" i="1" s="1"/>
  <c r="M26" i="1"/>
  <c r="N24" i="6"/>
  <c r="E17" i="2"/>
  <c r="G16" i="2"/>
  <c r="O37" i="1" s="1"/>
  <c r="J17" i="2"/>
  <c r="U38" i="1" s="1"/>
  <c r="H18" i="2"/>
  <c r="C39" i="22"/>
  <c r="A39" i="22"/>
  <c r="D40" i="22"/>
  <c r="E39" i="22"/>
  <c r="F39" i="22" s="1"/>
  <c r="I39" i="22"/>
  <c r="B40" i="22"/>
  <c r="G39" i="22"/>
  <c r="H39" i="22" s="1"/>
  <c r="E26" i="17"/>
  <c r="M31" i="7"/>
  <c r="H31" i="7"/>
  <c r="G26" i="17" s="1"/>
  <c r="D32" i="7"/>
  <c r="N32" i="7"/>
  <c r="K17" i="2"/>
  <c r="M16" i="2"/>
  <c r="AA37" i="1" s="1"/>
  <c r="E27" i="13"/>
  <c r="M31" i="3"/>
  <c r="H31" i="3"/>
  <c r="D17" i="3"/>
  <c r="N32" i="5"/>
  <c r="D32" i="5"/>
  <c r="C19" i="14"/>
  <c r="M23" i="4"/>
  <c r="I23" i="4"/>
  <c r="D19" i="14" s="1"/>
  <c r="H23" i="4"/>
  <c r="G19" i="14" s="1"/>
  <c r="J26" i="1" s="1"/>
  <c r="G26" i="1"/>
  <c r="N23" i="4"/>
  <c r="E20" i="18"/>
  <c r="T27" i="1"/>
  <c r="C25" i="8"/>
  <c r="D32" i="9"/>
  <c r="N32" i="9"/>
  <c r="E26" i="15"/>
  <c r="H31" i="5"/>
  <c r="G26" i="15" s="1"/>
  <c r="M31" i="5"/>
  <c r="D26" i="12"/>
  <c r="C19" i="20"/>
  <c r="M24" i="10"/>
  <c r="H24" i="10"/>
  <c r="G19" i="20" s="1"/>
  <c r="AB26" i="1" s="1"/>
  <c r="I24" i="10"/>
  <c r="D19" i="20" s="1"/>
  <c r="Y26" i="1"/>
  <c r="N24" i="10"/>
  <c r="E26" i="19"/>
  <c r="H31" i="9"/>
  <c r="G26" i="19" s="1"/>
  <c r="M31" i="9"/>
  <c r="F15" i="3" l="1"/>
  <c r="M17" i="3"/>
  <c r="C20" i="18"/>
  <c r="M25" i="8"/>
  <c r="I25" i="8"/>
  <c r="D20" i="18" s="1"/>
  <c r="H25" i="8"/>
  <c r="G20" i="18" s="1"/>
  <c r="V27" i="1" s="1"/>
  <c r="S27" i="1"/>
  <c r="N25" i="8"/>
  <c r="D25" i="10"/>
  <c r="M17" i="2"/>
  <c r="AA38" i="1" s="1"/>
  <c r="K18" i="2"/>
  <c r="G17" i="2"/>
  <c r="O38" i="1" s="1"/>
  <c r="E18" i="2"/>
  <c r="N33" i="7"/>
  <c r="D33" i="7"/>
  <c r="D25" i="6"/>
  <c r="D28" i="11"/>
  <c r="C28" i="11"/>
  <c r="E27" i="19"/>
  <c r="M32" i="9"/>
  <c r="H32" i="9"/>
  <c r="G27" i="19" s="1"/>
  <c r="D24" i="4"/>
  <c r="AE27" i="1"/>
  <c r="C26" i="12"/>
  <c r="E27" i="15"/>
  <c r="M32" i="5"/>
  <c r="H32" i="5"/>
  <c r="G27" i="15" s="1"/>
  <c r="J18" i="2"/>
  <c r="U39" i="1" s="1"/>
  <c r="H19" i="2"/>
  <c r="E27" i="17"/>
  <c r="M32" i="7"/>
  <c r="H32" i="7"/>
  <c r="G27" i="17" s="1"/>
  <c r="D41" i="22"/>
  <c r="I40" i="22"/>
  <c r="E40" i="22"/>
  <c r="F40" i="22" s="1"/>
  <c r="B41" i="22"/>
  <c r="G40" i="22"/>
  <c r="H40" i="22" s="1"/>
  <c r="A40" i="22"/>
  <c r="C40" i="22"/>
  <c r="N33" i="5"/>
  <c r="D33" i="5"/>
  <c r="D33" i="9"/>
  <c r="N33" i="9"/>
  <c r="G27" i="13"/>
  <c r="H17" i="3"/>
  <c r="N34" i="7" l="1"/>
  <c r="D34" i="7"/>
  <c r="E19" i="2"/>
  <c r="G19" i="2" s="1"/>
  <c r="O40" i="1" s="1"/>
  <c r="G18" i="2"/>
  <c r="O39" i="1" s="1"/>
  <c r="J19" i="2"/>
  <c r="U40" i="1" s="1"/>
  <c r="H20" i="2"/>
  <c r="N34" i="9"/>
  <c r="D34" i="9"/>
  <c r="E28" i="17"/>
  <c r="M33" i="7"/>
  <c r="H33" i="7"/>
  <c r="G28" i="17" s="1"/>
  <c r="A41" i="22"/>
  <c r="D42" i="22"/>
  <c r="B42" i="22"/>
  <c r="E41" i="22"/>
  <c r="F41" i="22" s="1"/>
  <c r="I41" i="22"/>
  <c r="C41" i="22"/>
  <c r="G41" i="22"/>
  <c r="H41" i="22" s="1"/>
  <c r="K19" i="2"/>
  <c r="M18" i="2"/>
  <c r="AA39" i="1" s="1"/>
  <c r="D26" i="8"/>
  <c r="E28" i="19"/>
  <c r="M33" i="9"/>
  <c r="H33" i="9"/>
  <c r="G28" i="19" s="1"/>
  <c r="M28" i="11"/>
  <c r="H28" i="11"/>
  <c r="I28" i="11"/>
  <c r="E20" i="16"/>
  <c r="N27" i="1"/>
  <c r="C25" i="6"/>
  <c r="E20" i="14"/>
  <c r="H27" i="1"/>
  <c r="C24" i="4"/>
  <c r="E20" i="20"/>
  <c r="Z27" i="1"/>
  <c r="C25" i="10"/>
  <c r="E28" i="15"/>
  <c r="H33" i="5"/>
  <c r="G28" i="15" s="1"/>
  <c r="M33" i="5"/>
  <c r="N28" i="11"/>
  <c r="N34" i="5"/>
  <c r="D34" i="5"/>
  <c r="I26" i="12"/>
  <c r="H26" i="12"/>
  <c r="M26" i="12"/>
  <c r="AD27" i="1"/>
  <c r="AF27" i="1" s="1"/>
  <c r="N26" i="12"/>
  <c r="E29" i="15" l="1"/>
  <c r="H34" i="5"/>
  <c r="G29" i="15" s="1"/>
  <c r="M34" i="5"/>
  <c r="B43" i="22"/>
  <c r="G42" i="22"/>
  <c r="H42" i="22" s="1"/>
  <c r="C42" i="22"/>
  <c r="A42" i="22"/>
  <c r="E42" i="22"/>
  <c r="F42" i="22" s="1"/>
  <c r="D43" i="22"/>
  <c r="I42" i="22"/>
  <c r="C20" i="16"/>
  <c r="M25" i="6"/>
  <c r="I25" i="6"/>
  <c r="D20" i="16" s="1"/>
  <c r="H25" i="6"/>
  <c r="G20" i="16" s="1"/>
  <c r="P27" i="1" s="1"/>
  <c r="M27" i="1"/>
  <c r="N25" i="6"/>
  <c r="N35" i="5"/>
  <c r="D35" i="5"/>
  <c r="M25" i="10"/>
  <c r="H25" i="10"/>
  <c r="G20" i="20" s="1"/>
  <c r="AB27" i="1" s="1"/>
  <c r="C20" i="20"/>
  <c r="I25" i="10"/>
  <c r="D20" i="20" s="1"/>
  <c r="Y27" i="1"/>
  <c r="N25" i="10"/>
  <c r="N35" i="9"/>
  <c r="D35" i="9"/>
  <c r="D29" i="11"/>
  <c r="C29" i="11"/>
  <c r="E29" i="19"/>
  <c r="M34" i="9"/>
  <c r="H34" i="9"/>
  <c r="G29" i="19" s="1"/>
  <c r="H21" i="2"/>
  <c r="J20" i="2"/>
  <c r="U41" i="1" s="1"/>
  <c r="E21" i="18"/>
  <c r="T28" i="1"/>
  <c r="C26" i="8"/>
  <c r="E29" i="17"/>
  <c r="H34" i="7"/>
  <c r="G29" i="17" s="1"/>
  <c r="M34" i="7"/>
  <c r="D27" i="12"/>
  <c r="C20" i="14"/>
  <c r="I24" i="4"/>
  <c r="D20" i="14" s="1"/>
  <c r="M24" i="4"/>
  <c r="H24" i="4"/>
  <c r="G20" i="14" s="1"/>
  <c r="J27" i="1" s="1"/>
  <c r="G27" i="1"/>
  <c r="N24" i="4"/>
  <c r="M19" i="2"/>
  <c r="AA40" i="1" s="1"/>
  <c r="K20" i="2"/>
  <c r="D35" i="7"/>
  <c r="N35" i="7"/>
  <c r="D25" i="4" l="1"/>
  <c r="D26" i="6"/>
  <c r="I29" i="11"/>
  <c r="M29" i="11"/>
  <c r="H29" i="11"/>
  <c r="D44" i="22"/>
  <c r="B44" i="22"/>
  <c r="I43" i="22"/>
  <c r="G43" i="22"/>
  <c r="H43" i="22" s="1"/>
  <c r="E43" i="22"/>
  <c r="F43" i="22" s="1"/>
  <c r="C43" i="22"/>
  <c r="A43" i="22"/>
  <c r="K21" i="2"/>
  <c r="M20" i="2"/>
  <c r="AA41" i="1" s="1"/>
  <c r="N29" i="11"/>
  <c r="AE28" i="1"/>
  <c r="C27" i="12"/>
  <c r="E30" i="19"/>
  <c r="M35" i="9"/>
  <c r="H35" i="9"/>
  <c r="G30" i="19" s="1"/>
  <c r="N36" i="9"/>
  <c r="D36" i="9"/>
  <c r="D26" i="10"/>
  <c r="C21" i="18"/>
  <c r="M26" i="8"/>
  <c r="I26" i="8"/>
  <c r="D21" i="18" s="1"/>
  <c r="H26" i="8"/>
  <c r="G21" i="18" s="1"/>
  <c r="V28" i="1" s="1"/>
  <c r="S28" i="1"/>
  <c r="N26" i="8"/>
  <c r="N36" i="7"/>
  <c r="D36" i="7"/>
  <c r="E30" i="17"/>
  <c r="M35" i="7"/>
  <c r="H35" i="7"/>
  <c r="G30" i="17" s="1"/>
  <c r="E30" i="15"/>
  <c r="M35" i="5"/>
  <c r="H35" i="5"/>
  <c r="G30" i="15" s="1"/>
  <c r="H22" i="2"/>
  <c r="J21" i="2"/>
  <c r="U42" i="1" s="1"/>
  <c r="N36" i="5"/>
  <c r="D36" i="5"/>
  <c r="I44" i="22" l="1"/>
  <c r="E44" i="22"/>
  <c r="F44" i="22" s="1"/>
  <c r="A44" i="22"/>
  <c r="G44" i="22"/>
  <c r="H44" i="22" s="1"/>
  <c r="D45" i="22"/>
  <c r="B45" i="22"/>
  <c r="C44" i="22"/>
  <c r="D27" i="8"/>
  <c r="E31" i="15"/>
  <c r="H36" i="5"/>
  <c r="G31" i="15" s="1"/>
  <c r="M36" i="5"/>
  <c r="N37" i="5"/>
  <c r="D37" i="5"/>
  <c r="E31" i="19"/>
  <c r="H36" i="9"/>
  <c r="G31" i="19" s="1"/>
  <c r="M36" i="9"/>
  <c r="N37" i="9"/>
  <c r="D37" i="9"/>
  <c r="E21" i="16"/>
  <c r="N28" i="1"/>
  <c r="C26" i="6"/>
  <c r="E21" i="20"/>
  <c r="Z28" i="1"/>
  <c r="C26" i="10"/>
  <c r="K22" i="2"/>
  <c r="M21" i="2"/>
  <c r="AA42" i="1" s="1"/>
  <c r="J22" i="2"/>
  <c r="U43" i="1" s="1"/>
  <c r="H23" i="2"/>
  <c r="M27" i="12"/>
  <c r="I27" i="12"/>
  <c r="H27" i="12"/>
  <c r="AD28" i="1"/>
  <c r="AF28" i="1" s="1"/>
  <c r="N27" i="12"/>
  <c r="E31" i="17"/>
  <c r="H36" i="7"/>
  <c r="G31" i="17" s="1"/>
  <c r="M36" i="7"/>
  <c r="E21" i="14"/>
  <c r="H28" i="1"/>
  <c r="C25" i="4"/>
  <c r="D37" i="7"/>
  <c r="N37" i="7"/>
  <c r="N30" i="11"/>
  <c r="D30" i="11"/>
  <c r="C30" i="11"/>
  <c r="M30" i="11" l="1"/>
  <c r="I30" i="11"/>
  <c r="H30" i="11"/>
  <c r="D38" i="7"/>
  <c r="N38" i="7"/>
  <c r="H24" i="2"/>
  <c r="J23" i="2"/>
  <c r="U44" i="1" s="1"/>
  <c r="E32" i="17"/>
  <c r="M37" i="7"/>
  <c r="H37" i="7"/>
  <c r="G32" i="17" s="1"/>
  <c r="D46" i="22"/>
  <c r="B46" i="22"/>
  <c r="I45" i="22"/>
  <c r="G45" i="22"/>
  <c r="H45" i="22" s="1"/>
  <c r="C45" i="22"/>
  <c r="E45" i="22"/>
  <c r="F45" i="22" s="1"/>
  <c r="A45" i="22"/>
  <c r="E22" i="18"/>
  <c r="T29" i="1"/>
  <c r="C27" i="8"/>
  <c r="D31" i="11"/>
  <c r="C31" i="11"/>
  <c r="N31" i="11" s="1"/>
  <c r="E32" i="15"/>
  <c r="M37" i="5"/>
  <c r="H37" i="5"/>
  <c r="G32" i="15" s="1"/>
  <c r="N38" i="5"/>
  <c r="N39" i="5" s="1"/>
  <c r="N40" i="5" s="1"/>
  <c r="N41" i="5" s="1"/>
  <c r="N42" i="5" s="1"/>
  <c r="N43" i="5" s="1"/>
  <c r="N44" i="5" s="1"/>
  <c r="N45" i="5" s="1"/>
  <c r="N46" i="5" s="1"/>
  <c r="N47" i="5" s="1"/>
  <c r="N48" i="5" s="1"/>
  <c r="N49" i="5" s="1"/>
  <c r="N50" i="5" s="1"/>
  <c r="N51" i="5" s="1"/>
  <c r="N52" i="5" s="1"/>
  <c r="N53" i="5" s="1"/>
  <c r="N54" i="5" s="1"/>
  <c r="N55" i="5" s="1"/>
  <c r="N56" i="5" s="1"/>
  <c r="N57" i="5" s="1"/>
  <c r="N58" i="5" s="1"/>
  <c r="N59" i="5" s="1"/>
  <c r="N60" i="5" s="1"/>
  <c r="N61" i="5" s="1"/>
  <c r="N62" i="5" s="1"/>
  <c r="N63" i="5" s="1"/>
  <c r="N64" i="5" s="1"/>
  <c r="N65" i="5" s="1"/>
  <c r="N66" i="5" s="1"/>
  <c r="N67" i="5" s="1"/>
  <c r="N68" i="5" s="1"/>
  <c r="N69" i="5" s="1"/>
  <c r="N70" i="5" s="1"/>
  <c r="N71" i="5" s="1"/>
  <c r="N72" i="5" s="1"/>
  <c r="N73" i="5" s="1"/>
  <c r="N74" i="5" s="1"/>
  <c r="N75" i="5" s="1"/>
  <c r="N76" i="5" s="1"/>
  <c r="N77" i="5" s="1"/>
  <c r="N78" i="5" s="1"/>
  <c r="N79" i="5" s="1"/>
  <c r="N80" i="5" s="1"/>
  <c r="N81" i="5" s="1"/>
  <c r="N82" i="5" s="1"/>
  <c r="N83" i="5" s="1"/>
  <c r="N84" i="5" s="1"/>
  <c r="N85" i="5" s="1"/>
  <c r="N86" i="5" s="1"/>
  <c r="N87" i="5" s="1"/>
  <c r="N88" i="5" s="1"/>
  <c r="N89" i="5" s="1"/>
  <c r="N90" i="5" s="1"/>
  <c r="N91" i="5" s="1"/>
  <c r="N92" i="5" s="1"/>
  <c r="N93" i="5" s="1"/>
  <c r="N94" i="5" s="1"/>
  <c r="N95" i="5" s="1"/>
  <c r="N96" i="5" s="1"/>
  <c r="N97" i="5" s="1"/>
  <c r="N98" i="5" s="1"/>
  <c r="N99" i="5" s="1"/>
  <c r="N100" i="5" s="1"/>
  <c r="N101" i="5" s="1"/>
  <c r="N102" i="5" s="1"/>
  <c r="N103" i="5" s="1"/>
  <c r="N104" i="5" s="1"/>
  <c r="D38" i="5"/>
  <c r="M22" i="2"/>
  <c r="AA43" i="1" s="1"/>
  <c r="K23" i="2"/>
  <c r="C21" i="20"/>
  <c r="I26" i="10"/>
  <c r="D21" i="20" s="1"/>
  <c r="H26" i="10"/>
  <c r="G21" i="20" s="1"/>
  <c r="AB28" i="1" s="1"/>
  <c r="M26" i="10"/>
  <c r="Y28" i="1"/>
  <c r="N26" i="10"/>
  <c r="C21" i="14"/>
  <c r="H25" i="4"/>
  <c r="G21" i="14" s="1"/>
  <c r="J28" i="1" s="1"/>
  <c r="M25" i="4"/>
  <c r="I25" i="4"/>
  <c r="D21" i="14" s="1"/>
  <c r="G28" i="1"/>
  <c r="N25" i="4"/>
  <c r="C21" i="16"/>
  <c r="I26" i="6"/>
  <c r="D21" i="16" s="1"/>
  <c r="H26" i="6"/>
  <c r="G21" i="16" s="1"/>
  <c r="P28" i="1" s="1"/>
  <c r="M26" i="6"/>
  <c r="M28" i="1"/>
  <c r="N26" i="6"/>
  <c r="E32" i="19"/>
  <c r="H37" i="9"/>
  <c r="G32" i="19" s="1"/>
  <c r="M37" i="9"/>
  <c r="D28" i="12"/>
  <c r="D38" i="9"/>
  <c r="N38" i="9"/>
  <c r="D32" i="11" l="1"/>
  <c r="C32" i="11"/>
  <c r="D27" i="6"/>
  <c r="M23" i="2"/>
  <c r="AA44" i="1" s="1"/>
  <c r="K24" i="2"/>
  <c r="G46" i="22"/>
  <c r="H46" i="22" s="1"/>
  <c r="C46" i="22"/>
  <c r="D47" i="22"/>
  <c r="B47" i="22"/>
  <c r="I46" i="22"/>
  <c r="E46" i="22"/>
  <c r="F46" i="22" s="1"/>
  <c r="A46" i="22"/>
  <c r="J24" i="2"/>
  <c r="U45" i="1" s="1"/>
  <c r="H25" i="2"/>
  <c r="J25" i="2" s="1"/>
  <c r="U46" i="1" s="1"/>
  <c r="N39" i="7"/>
  <c r="D39" i="7"/>
  <c r="E33" i="17"/>
  <c r="M38" i="7"/>
  <c r="H38" i="7"/>
  <c r="G33" i="17" s="1"/>
  <c r="E33" i="15"/>
  <c r="H38" i="5"/>
  <c r="M38" i="5"/>
  <c r="D18" i="5"/>
  <c r="D26" i="4"/>
  <c r="N39" i="9"/>
  <c r="D39" i="9"/>
  <c r="AE29" i="1"/>
  <c r="C28" i="12"/>
  <c r="H31" i="11"/>
  <c r="M31" i="11"/>
  <c r="I31" i="11"/>
  <c r="E33" i="19"/>
  <c r="H38" i="9"/>
  <c r="G33" i="19" s="1"/>
  <c r="M38" i="9"/>
  <c r="D27" i="10"/>
  <c r="C22" i="18"/>
  <c r="M27" i="8"/>
  <c r="I27" i="8"/>
  <c r="D22" i="18" s="1"/>
  <c r="H27" i="8"/>
  <c r="G22" i="18" s="1"/>
  <c r="V29" i="1" s="1"/>
  <c r="S29" i="1"/>
  <c r="N27" i="8"/>
  <c r="H28" i="12" l="1"/>
  <c r="I28" i="12"/>
  <c r="M28" i="12"/>
  <c r="AD29" i="1"/>
  <c r="AF29" i="1" s="1"/>
  <c r="N28" i="12"/>
  <c r="E34" i="19"/>
  <c r="M39" i="9"/>
  <c r="H39" i="9"/>
  <c r="G34" i="19" s="1"/>
  <c r="D40" i="9"/>
  <c r="N40" i="9"/>
  <c r="B48" i="22"/>
  <c r="I47" i="22"/>
  <c r="G47" i="22"/>
  <c r="H47" i="22" s="1"/>
  <c r="E47" i="22"/>
  <c r="F47" i="22" s="1"/>
  <c r="A47" i="22"/>
  <c r="D48" i="22"/>
  <c r="C47" i="22"/>
  <c r="G33" i="15"/>
  <c r="H18" i="5"/>
  <c r="K25" i="2"/>
  <c r="M24" i="2"/>
  <c r="AA45" i="1" s="1"/>
  <c r="E22" i="16"/>
  <c r="N29" i="1"/>
  <c r="C27" i="6"/>
  <c r="F16" i="5"/>
  <c r="M18" i="5"/>
  <c r="E34" i="17"/>
  <c r="H39" i="7"/>
  <c r="G34" i="17" s="1"/>
  <c r="M39" i="7"/>
  <c r="D28" i="8"/>
  <c r="E22" i="14"/>
  <c r="H29" i="1"/>
  <c r="C26" i="4"/>
  <c r="E22" i="20"/>
  <c r="Z29" i="1"/>
  <c r="C27" i="10"/>
  <c r="I32" i="11"/>
  <c r="M32" i="11"/>
  <c r="H32" i="11"/>
  <c r="N32" i="11"/>
  <c r="D40" i="7"/>
  <c r="N40" i="7"/>
  <c r="E23" i="18" l="1"/>
  <c r="T30" i="1"/>
  <c r="C28" i="8"/>
  <c r="N41" i="7"/>
  <c r="D41" i="7"/>
  <c r="D33" i="11"/>
  <c r="C33" i="11"/>
  <c r="N33" i="11" s="1"/>
  <c r="C22" i="20"/>
  <c r="I27" i="10"/>
  <c r="D22" i="20" s="1"/>
  <c r="M27" i="10"/>
  <c r="H27" i="10"/>
  <c r="G22" i="20" s="1"/>
  <c r="AB29" i="1" s="1"/>
  <c r="Y29" i="1"/>
  <c r="N27" i="10"/>
  <c r="D29" i="12"/>
  <c r="E48" i="22"/>
  <c r="F48" i="22" s="1"/>
  <c r="A48" i="22"/>
  <c r="D49" i="22"/>
  <c r="G48" i="22"/>
  <c r="H48" i="22" s="1"/>
  <c r="I48" i="22"/>
  <c r="C48" i="22"/>
  <c r="B49" i="22"/>
  <c r="N41" i="9"/>
  <c r="D41" i="9"/>
  <c r="E35" i="17"/>
  <c r="M40" i="7"/>
  <c r="H40" i="7"/>
  <c r="G35" i="17" s="1"/>
  <c r="E35" i="19"/>
  <c r="M40" i="9"/>
  <c r="H40" i="9"/>
  <c r="G35" i="19" s="1"/>
  <c r="C22" i="16"/>
  <c r="I27" i="6"/>
  <c r="D22" i="16" s="1"/>
  <c r="H27" i="6"/>
  <c r="G22" i="16" s="1"/>
  <c r="P29" i="1" s="1"/>
  <c r="M27" i="6"/>
  <c r="M29" i="1"/>
  <c r="N27" i="6"/>
  <c r="M25" i="2"/>
  <c r="AA46" i="1" s="1"/>
  <c r="K26" i="2"/>
  <c r="C22" i="14"/>
  <c r="M26" i="4"/>
  <c r="H26" i="4"/>
  <c r="G22" i="14" s="1"/>
  <c r="J29" i="1" s="1"/>
  <c r="I26" i="4"/>
  <c r="D22" i="14" s="1"/>
  <c r="G29" i="1"/>
  <c r="N26" i="4"/>
  <c r="D34" i="11" l="1"/>
  <c r="C34" i="11"/>
  <c r="AE30" i="1"/>
  <c r="C29" i="12"/>
  <c r="D28" i="10"/>
  <c r="D27" i="4"/>
  <c r="I49" i="22"/>
  <c r="G49" i="22"/>
  <c r="H49" i="22" s="1"/>
  <c r="E49" i="22"/>
  <c r="F49" i="22" s="1"/>
  <c r="C49" i="22"/>
  <c r="D50" i="22"/>
  <c r="A49" i="22"/>
  <c r="B50" i="22"/>
  <c r="E36" i="19"/>
  <c r="M41" i="9"/>
  <c r="H41" i="9"/>
  <c r="G36" i="19" s="1"/>
  <c r="E36" i="17"/>
  <c r="H41" i="7"/>
  <c r="G36" i="17" s="1"/>
  <c r="M41" i="7"/>
  <c r="H33" i="11"/>
  <c r="M33" i="11"/>
  <c r="I33" i="11"/>
  <c r="D42" i="7"/>
  <c r="N42" i="7"/>
  <c r="K27" i="2"/>
  <c r="M26" i="2"/>
  <c r="AA47" i="1" s="1"/>
  <c r="N42" i="9"/>
  <c r="D42" i="9"/>
  <c r="D28" i="6"/>
  <c r="C23" i="18"/>
  <c r="H28" i="8"/>
  <c r="G23" i="18" s="1"/>
  <c r="V30" i="1" s="1"/>
  <c r="M28" i="8"/>
  <c r="I28" i="8"/>
  <c r="D23" i="18" s="1"/>
  <c r="S30" i="1"/>
  <c r="N28" i="8"/>
  <c r="E37" i="19" l="1"/>
  <c r="H42" i="9"/>
  <c r="G37" i="19" s="1"/>
  <c r="M42" i="9"/>
  <c r="N43" i="9"/>
  <c r="D43" i="9"/>
  <c r="E23" i="16"/>
  <c r="N30" i="1"/>
  <c r="C28" i="6"/>
  <c r="E37" i="17"/>
  <c r="M42" i="7"/>
  <c r="H42" i="7"/>
  <c r="G37" i="17" s="1"/>
  <c r="D29" i="8"/>
  <c r="E23" i="20"/>
  <c r="Z30" i="1"/>
  <c r="C28" i="10"/>
  <c r="I29" i="12"/>
  <c r="H29" i="12"/>
  <c r="M29" i="12"/>
  <c r="AD30" i="1"/>
  <c r="AF30" i="1" s="1"/>
  <c r="N29" i="12"/>
  <c r="E23" i="14"/>
  <c r="H30" i="1"/>
  <c r="C27" i="4"/>
  <c r="C50" i="22"/>
  <c r="B51" i="22"/>
  <c r="G50" i="22"/>
  <c r="H50" i="22" s="1"/>
  <c r="E50" i="22"/>
  <c r="F50" i="22" s="1"/>
  <c r="D51" i="22"/>
  <c r="A50" i="22"/>
  <c r="I50" i="22"/>
  <c r="K28" i="2"/>
  <c r="M27" i="2"/>
  <c r="AA48" i="1" s="1"/>
  <c r="N43" i="7"/>
  <c r="D43" i="7"/>
  <c r="I34" i="11"/>
  <c r="M34" i="11"/>
  <c r="H34" i="11"/>
  <c r="N34" i="11"/>
  <c r="M28" i="2" l="1"/>
  <c r="AA49" i="1" s="1"/>
  <c r="K29" i="2"/>
  <c r="E24" i="18"/>
  <c r="T31" i="1"/>
  <c r="C29" i="8"/>
  <c r="D35" i="11"/>
  <c r="C35" i="11"/>
  <c r="E38" i="19"/>
  <c r="M43" i="9"/>
  <c r="H43" i="9"/>
  <c r="G38" i="19" s="1"/>
  <c r="N44" i="9"/>
  <c r="D44" i="9"/>
  <c r="C23" i="20"/>
  <c r="I28" i="10"/>
  <c r="D23" i="20" s="1"/>
  <c r="M28" i="10"/>
  <c r="H28" i="10"/>
  <c r="G23" i="20" s="1"/>
  <c r="AB30" i="1" s="1"/>
  <c r="Y30" i="1"/>
  <c r="N28" i="10"/>
  <c r="C23" i="16"/>
  <c r="M28" i="6"/>
  <c r="I28" i="6"/>
  <c r="D23" i="16" s="1"/>
  <c r="H28" i="6"/>
  <c r="G23" i="16" s="1"/>
  <c r="P30" i="1" s="1"/>
  <c r="M30" i="1"/>
  <c r="N28" i="6"/>
  <c r="G51" i="22"/>
  <c r="H51" i="22" s="1"/>
  <c r="E51" i="22"/>
  <c r="F51" i="22" s="1"/>
  <c r="C51" i="22"/>
  <c r="A51" i="22"/>
  <c r="I51" i="22"/>
  <c r="B52" i="22"/>
  <c r="D52" i="22"/>
  <c r="C23" i="14"/>
  <c r="H27" i="4"/>
  <c r="G23" i="14" s="1"/>
  <c r="J30" i="1" s="1"/>
  <c r="M27" i="4"/>
  <c r="I27" i="4"/>
  <c r="D23" i="14" s="1"/>
  <c r="G30" i="1"/>
  <c r="N27" i="4"/>
  <c r="D30" i="12"/>
  <c r="E38" i="17"/>
  <c r="M43" i="7"/>
  <c r="H43" i="7"/>
  <c r="G38" i="17" s="1"/>
  <c r="D44" i="7"/>
  <c r="N44" i="7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56" i="7" s="1"/>
  <c r="N57" i="7" s="1"/>
  <c r="N58" i="7" s="1"/>
  <c r="N59" i="7" s="1"/>
  <c r="N60" i="7" s="1"/>
  <c r="N61" i="7" s="1"/>
  <c r="N62" i="7" s="1"/>
  <c r="N63" i="7" s="1"/>
  <c r="N64" i="7" s="1"/>
  <c r="N65" i="7" s="1"/>
  <c r="N66" i="7" s="1"/>
  <c r="N67" i="7" s="1"/>
  <c r="N68" i="7" s="1"/>
  <c r="N69" i="7" s="1"/>
  <c r="N70" i="7" s="1"/>
  <c r="N71" i="7" s="1"/>
  <c r="N72" i="7" s="1"/>
  <c r="N73" i="7" s="1"/>
  <c r="N74" i="7" s="1"/>
  <c r="N75" i="7" s="1"/>
  <c r="N76" i="7" s="1"/>
  <c r="N77" i="7" s="1"/>
  <c r="N78" i="7" s="1"/>
  <c r="N79" i="7" s="1"/>
  <c r="N80" i="7" s="1"/>
  <c r="N81" i="7" s="1"/>
  <c r="N82" i="7" s="1"/>
  <c r="N83" i="7" s="1"/>
  <c r="N84" i="7" s="1"/>
  <c r="N85" i="7" s="1"/>
  <c r="N86" i="7" s="1"/>
  <c r="N87" i="7" s="1"/>
  <c r="N88" i="7" s="1"/>
  <c r="N89" i="7" s="1"/>
  <c r="N90" i="7" s="1"/>
  <c r="N91" i="7" s="1"/>
  <c r="N92" i="7" s="1"/>
  <c r="N93" i="7" s="1"/>
  <c r="N94" i="7" s="1"/>
  <c r="N95" i="7" s="1"/>
  <c r="N96" i="7" s="1"/>
  <c r="N97" i="7" s="1"/>
  <c r="N98" i="7" s="1"/>
  <c r="N99" i="7" s="1"/>
  <c r="N100" i="7" s="1"/>
  <c r="N101" i="7" s="1"/>
  <c r="N102" i="7" s="1"/>
  <c r="N103" i="7" s="1"/>
  <c r="N104" i="7" s="1"/>
  <c r="A52" i="22" l="1"/>
  <c r="D53" i="22"/>
  <c r="I52" i="22"/>
  <c r="G52" i="22"/>
  <c r="H52" i="22" s="1"/>
  <c r="E52" i="22"/>
  <c r="F52" i="22" s="1"/>
  <c r="C52" i="22"/>
  <c r="B53" i="22"/>
  <c r="AE31" i="1"/>
  <c r="C30" i="12"/>
  <c r="M35" i="11"/>
  <c r="H35" i="11"/>
  <c r="I35" i="11"/>
  <c r="E39" i="17"/>
  <c r="H44" i="7"/>
  <c r="M44" i="7"/>
  <c r="D18" i="7"/>
  <c r="D29" i="6"/>
  <c r="N35" i="11"/>
  <c r="C24" i="18"/>
  <c r="I29" i="8"/>
  <c r="D24" i="18" s="1"/>
  <c r="M29" i="8"/>
  <c r="H29" i="8"/>
  <c r="G24" i="18" s="1"/>
  <c r="V31" i="1" s="1"/>
  <c r="S31" i="1"/>
  <c r="N29" i="8"/>
  <c r="K30" i="2"/>
  <c r="M29" i="2"/>
  <c r="AA50" i="1" s="1"/>
  <c r="E39" i="19"/>
  <c r="H44" i="9"/>
  <c r="G39" i="19" s="1"/>
  <c r="M44" i="9"/>
  <c r="N45" i="9"/>
  <c r="D45" i="9"/>
  <c r="D28" i="4"/>
  <c r="D29" i="10"/>
  <c r="M18" i="7" l="1"/>
  <c r="F16" i="7"/>
  <c r="G39" i="17"/>
  <c r="H18" i="7"/>
  <c r="D46" i="9"/>
  <c r="N46" i="9"/>
  <c r="E53" i="22"/>
  <c r="F53" i="22" s="1"/>
  <c r="C53" i="22"/>
  <c r="A53" i="22"/>
  <c r="G53" i="22"/>
  <c r="H53" i="22" s="1"/>
  <c r="D54" i="22"/>
  <c r="B54" i="22"/>
  <c r="I53" i="22"/>
  <c r="D30" i="8"/>
  <c r="E24" i="14"/>
  <c r="H31" i="1"/>
  <c r="C28" i="4"/>
  <c r="E40" i="19"/>
  <c r="M45" i="9"/>
  <c r="H45" i="9"/>
  <c r="G40" i="19" s="1"/>
  <c r="K31" i="2"/>
  <c r="M30" i="2"/>
  <c r="AA51" i="1" s="1"/>
  <c r="M30" i="12"/>
  <c r="H30" i="12"/>
  <c r="I30" i="12"/>
  <c r="AD31" i="1"/>
  <c r="AF31" i="1" s="1"/>
  <c r="N30" i="12"/>
  <c r="E24" i="20"/>
  <c r="Z31" i="1"/>
  <c r="C29" i="10"/>
  <c r="D36" i="11"/>
  <c r="C36" i="11"/>
  <c r="E24" i="16"/>
  <c r="N31" i="1"/>
  <c r="C29" i="6"/>
  <c r="E25" i="18" l="1"/>
  <c r="T32" i="1"/>
  <c r="C30" i="8"/>
  <c r="B55" i="22"/>
  <c r="G54" i="22"/>
  <c r="H54" i="22" s="1"/>
  <c r="A54" i="22"/>
  <c r="I54" i="22"/>
  <c r="E54" i="22"/>
  <c r="F54" i="22" s="1"/>
  <c r="D55" i="22"/>
  <c r="C54" i="22"/>
  <c r="M31" i="2"/>
  <c r="AA52" i="1" s="1"/>
  <c r="K32" i="2"/>
  <c r="N47" i="9"/>
  <c r="D47" i="9"/>
  <c r="E41" i="19"/>
  <c r="M46" i="9"/>
  <c r="H46" i="9"/>
  <c r="G41" i="19" s="1"/>
  <c r="C24" i="20"/>
  <c r="I29" i="10"/>
  <c r="D24" i="20" s="1"/>
  <c r="M29" i="10"/>
  <c r="H29" i="10"/>
  <c r="G24" i="20" s="1"/>
  <c r="AB31" i="1" s="1"/>
  <c r="Y31" i="1"/>
  <c r="N29" i="10"/>
  <c r="D31" i="12"/>
  <c r="C24" i="16"/>
  <c r="M29" i="6"/>
  <c r="I29" i="6"/>
  <c r="D24" i="16" s="1"/>
  <c r="H29" i="6"/>
  <c r="G24" i="16" s="1"/>
  <c r="P31" i="1" s="1"/>
  <c r="M31" i="1"/>
  <c r="N29" i="6"/>
  <c r="M36" i="11"/>
  <c r="I36" i="11"/>
  <c r="H36" i="11"/>
  <c r="C24" i="14"/>
  <c r="M28" i="4"/>
  <c r="I28" i="4"/>
  <c r="D24" i="14" s="1"/>
  <c r="H28" i="4"/>
  <c r="G24" i="14" s="1"/>
  <c r="J31" i="1" s="1"/>
  <c r="G31" i="1"/>
  <c r="N28" i="4"/>
  <c r="N36" i="11"/>
  <c r="E42" i="19" l="1"/>
  <c r="H47" i="9"/>
  <c r="G42" i="19" s="1"/>
  <c r="M47" i="9"/>
  <c r="N48" i="9"/>
  <c r="D48" i="9"/>
  <c r="AE32" i="1"/>
  <c r="C31" i="12"/>
  <c r="C55" i="22"/>
  <c r="A55" i="22"/>
  <c r="D56" i="22"/>
  <c r="G55" i="22"/>
  <c r="H55" i="22" s="1"/>
  <c r="E55" i="22"/>
  <c r="F55" i="22" s="1"/>
  <c r="B56" i="22"/>
  <c r="I55" i="22"/>
  <c r="D30" i="6"/>
  <c r="K33" i="2"/>
  <c r="M32" i="2"/>
  <c r="AA53" i="1" s="1"/>
  <c r="D37" i="11"/>
  <c r="C37" i="11"/>
  <c r="D29" i="4"/>
  <c r="D30" i="10"/>
  <c r="C25" i="18"/>
  <c r="M30" i="8"/>
  <c r="I30" i="8"/>
  <c r="D25" i="18" s="1"/>
  <c r="H30" i="8"/>
  <c r="G25" i="18" s="1"/>
  <c r="V32" i="1" s="1"/>
  <c r="S32" i="1"/>
  <c r="N30" i="8"/>
  <c r="D57" i="22" l="1"/>
  <c r="I56" i="22"/>
  <c r="E56" i="22"/>
  <c r="F56" i="22" s="1"/>
  <c r="G56" i="22"/>
  <c r="H56" i="22" s="1"/>
  <c r="C56" i="22"/>
  <c r="A56" i="22"/>
  <c r="B57" i="22"/>
  <c r="M31" i="12"/>
  <c r="I31" i="12"/>
  <c r="H31" i="12"/>
  <c r="AD32" i="1"/>
  <c r="AF32" i="1" s="1"/>
  <c r="N31" i="12"/>
  <c r="E25" i="14"/>
  <c r="H32" i="1"/>
  <c r="C29" i="4"/>
  <c r="H37" i="11"/>
  <c r="M37" i="11"/>
  <c r="I37" i="11"/>
  <c r="D49" i="9"/>
  <c r="N49" i="9"/>
  <c r="D31" i="8"/>
  <c r="E25" i="16"/>
  <c r="N32" i="1"/>
  <c r="C30" i="6"/>
  <c r="E25" i="20"/>
  <c r="Z32" i="1"/>
  <c r="C30" i="10"/>
  <c r="E43" i="19"/>
  <c r="H48" i="9"/>
  <c r="G43" i="19" s="1"/>
  <c r="M48" i="9"/>
  <c r="N37" i="11"/>
  <c r="K34" i="2"/>
  <c r="M33" i="2"/>
  <c r="AA54" i="1" s="1"/>
  <c r="D38" i="11" l="1"/>
  <c r="C38" i="11"/>
  <c r="H30" i="6"/>
  <c r="G25" i="16" s="1"/>
  <c r="P32" i="1" s="1"/>
  <c r="C25" i="16"/>
  <c r="M30" i="6"/>
  <c r="I30" i="6"/>
  <c r="D25" i="16" s="1"/>
  <c r="M32" i="1"/>
  <c r="N30" i="6"/>
  <c r="A57" i="22"/>
  <c r="D58" i="22"/>
  <c r="B58" i="22"/>
  <c r="C57" i="22"/>
  <c r="I57" i="22"/>
  <c r="G57" i="22"/>
  <c r="H57" i="22" s="1"/>
  <c r="E57" i="22"/>
  <c r="F57" i="22" s="1"/>
  <c r="C25" i="14"/>
  <c r="M29" i="4"/>
  <c r="I29" i="4"/>
  <c r="D25" i="14" s="1"/>
  <c r="H29" i="4"/>
  <c r="G25" i="14" s="1"/>
  <c r="J32" i="1" s="1"/>
  <c r="G32" i="1"/>
  <c r="N29" i="4"/>
  <c r="D32" i="12"/>
  <c r="E44" i="19"/>
  <c r="H49" i="9"/>
  <c r="G44" i="19" s="1"/>
  <c r="M49" i="9"/>
  <c r="C25" i="20"/>
  <c r="H30" i="10"/>
  <c r="G25" i="20" s="1"/>
  <c r="AB32" i="1" s="1"/>
  <c r="I30" i="10"/>
  <c r="D25" i="20" s="1"/>
  <c r="M30" i="10"/>
  <c r="Y32" i="1"/>
  <c r="N30" i="10"/>
  <c r="E26" i="18"/>
  <c r="T33" i="1"/>
  <c r="C31" i="8"/>
  <c r="D50" i="9"/>
  <c r="N50" i="9"/>
  <c r="M34" i="2"/>
  <c r="AA55" i="1" s="1"/>
  <c r="K35" i="2"/>
  <c r="B59" i="22" l="1"/>
  <c r="G58" i="22"/>
  <c r="H58" i="22" s="1"/>
  <c r="C58" i="22"/>
  <c r="E58" i="22"/>
  <c r="F58" i="22" s="1"/>
  <c r="A58" i="22"/>
  <c r="I58" i="22"/>
  <c r="D59" i="22"/>
  <c r="AE33" i="1"/>
  <c r="C32" i="12"/>
  <c r="D51" i="9"/>
  <c r="N51" i="9"/>
  <c r="D30" i="4"/>
  <c r="D31" i="6"/>
  <c r="K36" i="2"/>
  <c r="M35" i="2"/>
  <c r="AA56" i="1" s="1"/>
  <c r="E45" i="19"/>
  <c r="M50" i="9"/>
  <c r="H50" i="9"/>
  <c r="G45" i="19" s="1"/>
  <c r="C26" i="18"/>
  <c r="M31" i="8"/>
  <c r="H31" i="8"/>
  <c r="G26" i="18" s="1"/>
  <c r="V33" i="1" s="1"/>
  <c r="I31" i="8"/>
  <c r="D26" i="18" s="1"/>
  <c r="S33" i="1"/>
  <c r="N31" i="8"/>
  <c r="H38" i="11"/>
  <c r="M38" i="11"/>
  <c r="I38" i="11"/>
  <c r="N38" i="11"/>
  <c r="D31" i="10"/>
  <c r="D32" i="8" l="1"/>
  <c r="K37" i="2"/>
  <c r="M37" i="2" s="1"/>
  <c r="AA58" i="1" s="1"/>
  <c r="M36" i="2"/>
  <c r="AA57" i="1" s="1"/>
  <c r="D39" i="11"/>
  <c r="C39" i="11"/>
  <c r="E26" i="14"/>
  <c r="H33" i="1"/>
  <c r="C30" i="4"/>
  <c r="E46" i="19"/>
  <c r="H51" i="9"/>
  <c r="G46" i="19" s="1"/>
  <c r="M51" i="9"/>
  <c r="N52" i="9"/>
  <c r="D52" i="9"/>
  <c r="E26" i="20"/>
  <c r="Z33" i="1"/>
  <c r="C31" i="10"/>
  <c r="I32" i="12"/>
  <c r="M32" i="12"/>
  <c r="H32" i="12"/>
  <c r="AD33" i="1"/>
  <c r="AF33" i="1" s="1"/>
  <c r="N32" i="12"/>
  <c r="E26" i="16"/>
  <c r="N33" i="1"/>
  <c r="C31" i="6"/>
  <c r="D60" i="22"/>
  <c r="B60" i="22"/>
  <c r="I59" i="22"/>
  <c r="G59" i="22"/>
  <c r="H59" i="22" s="1"/>
  <c r="C59" i="22"/>
  <c r="A59" i="22"/>
  <c r="E59" i="22"/>
  <c r="F59" i="22" s="1"/>
  <c r="N53" i="9" l="1"/>
  <c r="D53" i="9"/>
  <c r="I39" i="11"/>
  <c r="M39" i="11"/>
  <c r="H39" i="11"/>
  <c r="C26" i="16"/>
  <c r="H31" i="6"/>
  <c r="G26" i="16" s="1"/>
  <c r="P33" i="1" s="1"/>
  <c r="I31" i="6"/>
  <c r="D26" i="16" s="1"/>
  <c r="M31" i="6"/>
  <c r="M33" i="1"/>
  <c r="N31" i="6"/>
  <c r="D33" i="12"/>
  <c r="N39" i="11"/>
  <c r="C26" i="14"/>
  <c r="I30" i="4"/>
  <c r="D26" i="14" s="1"/>
  <c r="M30" i="4"/>
  <c r="H30" i="4"/>
  <c r="G26" i="14" s="1"/>
  <c r="J33" i="1" s="1"/>
  <c r="G33" i="1"/>
  <c r="N30" i="4"/>
  <c r="C26" i="20"/>
  <c r="M31" i="10"/>
  <c r="I31" i="10"/>
  <c r="D26" i="20" s="1"/>
  <c r="H31" i="10"/>
  <c r="G26" i="20" s="1"/>
  <c r="AB33" i="1" s="1"/>
  <c r="Y33" i="1"/>
  <c r="N31" i="10"/>
  <c r="E47" i="19"/>
  <c r="H52" i="9"/>
  <c r="G47" i="19" s="1"/>
  <c r="M52" i="9"/>
  <c r="I60" i="22"/>
  <c r="E60" i="22"/>
  <c r="F60" i="22" s="1"/>
  <c r="A60" i="22"/>
  <c r="C60" i="22"/>
  <c r="B61" i="22"/>
  <c r="G60" i="22"/>
  <c r="H60" i="22" s="1"/>
  <c r="D61" i="22"/>
  <c r="E27" i="18"/>
  <c r="T34" i="1"/>
  <c r="C32" i="8"/>
  <c r="D40" i="11" l="1"/>
  <c r="C40" i="11"/>
  <c r="AE34" i="1"/>
  <c r="C33" i="12"/>
  <c r="C27" i="18"/>
  <c r="I32" i="8"/>
  <c r="D27" i="18" s="1"/>
  <c r="M32" i="8"/>
  <c r="H32" i="8"/>
  <c r="G27" i="18" s="1"/>
  <c r="V34" i="1" s="1"/>
  <c r="S34" i="1"/>
  <c r="N32" i="8"/>
  <c r="D32" i="6"/>
  <c r="D32" i="10"/>
  <c r="C31" i="4"/>
  <c r="D31" i="4"/>
  <c r="D62" i="22"/>
  <c r="B62" i="22"/>
  <c r="I61" i="22"/>
  <c r="G61" i="22"/>
  <c r="H61" i="22" s="1"/>
  <c r="C61" i="22"/>
  <c r="A61" i="22"/>
  <c r="E61" i="22"/>
  <c r="F61" i="22" s="1"/>
  <c r="E48" i="19"/>
  <c r="M53" i="9"/>
  <c r="H53" i="9"/>
  <c r="G48" i="19" s="1"/>
  <c r="D54" i="9"/>
  <c r="N54" i="9"/>
  <c r="C27" i="14" l="1"/>
  <c r="C28" i="14" s="1"/>
  <c r="H31" i="4"/>
  <c r="M31" i="4"/>
  <c r="I31" i="4"/>
  <c r="D27" i="14" s="1"/>
  <c r="D28" i="14" s="1"/>
  <c r="G34" i="1"/>
  <c r="C17" i="4"/>
  <c r="E49" i="19"/>
  <c r="M54" i="9"/>
  <c r="H54" i="9"/>
  <c r="G49" i="19" s="1"/>
  <c r="H33" i="12"/>
  <c r="M33" i="12"/>
  <c r="I33" i="12"/>
  <c r="AD34" i="1"/>
  <c r="AF34" i="1" s="1"/>
  <c r="N33" i="12"/>
  <c r="N55" i="9"/>
  <c r="D55" i="9"/>
  <c r="G62" i="22"/>
  <c r="H62" i="22" s="1"/>
  <c r="C62" i="22"/>
  <c r="I62" i="22"/>
  <c r="B63" i="22"/>
  <c r="D63" i="22"/>
  <c r="A62" i="22"/>
  <c r="E62" i="22"/>
  <c r="F62" i="22" s="1"/>
  <c r="E27" i="20"/>
  <c r="Z34" i="1"/>
  <c r="C32" i="10"/>
  <c r="E27" i="16"/>
  <c r="N34" i="1"/>
  <c r="C32" i="6"/>
  <c r="D33" i="8"/>
  <c r="M40" i="11"/>
  <c r="H40" i="11"/>
  <c r="I40" i="11"/>
  <c r="E27" i="14"/>
  <c r="H34" i="1"/>
  <c r="D17" i="4"/>
  <c r="N31" i="4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40" i="11"/>
  <c r="E50" i="19" l="1"/>
  <c r="H55" i="9"/>
  <c r="G50" i="19" s="1"/>
  <c r="M55" i="9"/>
  <c r="N56" i="9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N102" i="9" s="1"/>
  <c r="N103" i="9" s="1"/>
  <c r="N104" i="9" s="1"/>
  <c r="D56" i="9"/>
  <c r="E28" i="18"/>
  <c r="T35" i="1"/>
  <c r="C33" i="8"/>
  <c r="D34" i="12"/>
  <c r="C27" i="16"/>
  <c r="I32" i="6"/>
  <c r="D27" i="16" s="1"/>
  <c r="H32" i="6"/>
  <c r="G27" i="16" s="1"/>
  <c r="P34" i="1" s="1"/>
  <c r="M32" i="6"/>
  <c r="M34" i="1"/>
  <c r="N32" i="6"/>
  <c r="G27" i="14"/>
  <c r="J34" i="1" s="1"/>
  <c r="H17" i="4"/>
  <c r="C27" i="20"/>
  <c r="H32" i="10"/>
  <c r="G27" i="20" s="1"/>
  <c r="AB34" i="1" s="1"/>
  <c r="M32" i="10"/>
  <c r="I32" i="10"/>
  <c r="D27" i="20" s="1"/>
  <c r="Y34" i="1"/>
  <c r="N32" i="10"/>
  <c r="D41" i="11"/>
  <c r="C41" i="11"/>
  <c r="B64" i="22"/>
  <c r="I63" i="22"/>
  <c r="G63" i="22"/>
  <c r="H63" i="22" s="1"/>
  <c r="E63" i="22"/>
  <c r="F63" i="22" s="1"/>
  <c r="C63" i="22"/>
  <c r="A63" i="22"/>
  <c r="D64" i="22"/>
  <c r="M17" i="4"/>
  <c r="F15" i="4"/>
  <c r="D33" i="6" l="1"/>
  <c r="E64" i="22"/>
  <c r="F64" i="22" s="1"/>
  <c r="A64" i="22"/>
  <c r="D65" i="22"/>
  <c r="C64" i="22"/>
  <c r="G64" i="22"/>
  <c r="H64" i="22" s="1"/>
  <c r="B65" i="22"/>
  <c r="I64" i="22"/>
  <c r="AE35" i="1"/>
  <c r="C34" i="12"/>
  <c r="D33" i="10"/>
  <c r="C28" i="18"/>
  <c r="H33" i="8"/>
  <c r="G28" i="18" s="1"/>
  <c r="V35" i="1" s="1"/>
  <c r="M33" i="8"/>
  <c r="I33" i="8"/>
  <c r="D28" i="18" s="1"/>
  <c r="S35" i="1"/>
  <c r="N33" i="8"/>
  <c r="E51" i="19"/>
  <c r="E52" i="19" s="1"/>
  <c r="H56" i="9"/>
  <c r="M56" i="9"/>
  <c r="D18" i="9"/>
  <c r="I41" i="11"/>
  <c r="H41" i="11"/>
  <c r="M41" i="11"/>
  <c r="N41" i="11"/>
  <c r="E28" i="20" l="1"/>
  <c r="Z35" i="1"/>
  <c r="C33" i="10"/>
  <c r="D42" i="11"/>
  <c r="C42" i="11"/>
  <c r="F16" i="9"/>
  <c r="M18" i="9"/>
  <c r="M34" i="12"/>
  <c r="I34" i="12"/>
  <c r="H34" i="12"/>
  <c r="AD35" i="1"/>
  <c r="AF35" i="1" s="1"/>
  <c r="N34" i="12"/>
  <c r="I65" i="22"/>
  <c r="G65" i="22"/>
  <c r="H65" i="22" s="1"/>
  <c r="E65" i="22"/>
  <c r="F65" i="22" s="1"/>
  <c r="C65" i="22"/>
  <c r="D66" i="22"/>
  <c r="B66" i="22"/>
  <c r="A65" i="22"/>
  <c r="G51" i="19"/>
  <c r="H18" i="9"/>
  <c r="D34" i="8"/>
  <c r="E28" i="16"/>
  <c r="N35" i="1"/>
  <c r="C33" i="6"/>
  <c r="D35" i="12" l="1"/>
  <c r="M42" i="11"/>
  <c r="I42" i="11"/>
  <c r="H42" i="11"/>
  <c r="M33" i="6"/>
  <c r="C28" i="16"/>
  <c r="I33" i="6"/>
  <c r="D28" i="16" s="1"/>
  <c r="H33" i="6"/>
  <c r="G28" i="16" s="1"/>
  <c r="P35" i="1" s="1"/>
  <c r="M35" i="1"/>
  <c r="N33" i="6"/>
  <c r="E29" i="18"/>
  <c r="T36" i="1"/>
  <c r="C34" i="8"/>
  <c r="N42" i="11"/>
  <c r="C66" i="22"/>
  <c r="B67" i="22"/>
  <c r="D67" i="22"/>
  <c r="I66" i="22"/>
  <c r="A66" i="22"/>
  <c r="G66" i="22"/>
  <c r="H66" i="22" s="1"/>
  <c r="E66" i="22"/>
  <c r="F66" i="22" s="1"/>
  <c r="C28" i="20"/>
  <c r="M33" i="10"/>
  <c r="I33" i="10"/>
  <c r="D28" i="20" s="1"/>
  <c r="H33" i="10"/>
  <c r="G28" i="20" s="1"/>
  <c r="AB35" i="1" s="1"/>
  <c r="Y35" i="1"/>
  <c r="N33" i="10"/>
  <c r="C29" i="18" l="1"/>
  <c r="M34" i="8"/>
  <c r="I34" i="8"/>
  <c r="D29" i="18" s="1"/>
  <c r="H34" i="8"/>
  <c r="G29" i="18" s="1"/>
  <c r="V36" i="1" s="1"/>
  <c r="S36" i="1"/>
  <c r="N34" i="8"/>
  <c r="D34" i="10"/>
  <c r="D34" i="6"/>
  <c r="D43" i="11"/>
  <c r="C43" i="11"/>
  <c r="N43" i="11" s="1"/>
  <c r="AE36" i="1"/>
  <c r="C35" i="12"/>
  <c r="G67" i="22"/>
  <c r="H67" i="22" s="1"/>
  <c r="E67" i="22"/>
  <c r="F67" i="22" s="1"/>
  <c r="C67" i="22"/>
  <c r="A67" i="22"/>
  <c r="D68" i="22"/>
  <c r="I67" i="22"/>
  <c r="B68" i="22"/>
  <c r="D44" i="11" l="1"/>
  <c r="C44" i="11"/>
  <c r="E29" i="20"/>
  <c r="Z36" i="1"/>
  <c r="C34" i="10"/>
  <c r="D35" i="8"/>
  <c r="H43" i="11"/>
  <c r="M43" i="11"/>
  <c r="I43" i="11"/>
  <c r="I35" i="12"/>
  <c r="M35" i="12"/>
  <c r="H35" i="12"/>
  <c r="AD36" i="1"/>
  <c r="AF36" i="1" s="1"/>
  <c r="N35" i="12"/>
  <c r="E29" i="16"/>
  <c r="N36" i="1"/>
  <c r="C34" i="6"/>
  <c r="A68" i="22"/>
  <c r="D69" i="22"/>
  <c r="I68" i="22"/>
  <c r="B69" i="22"/>
  <c r="G68" i="22"/>
  <c r="H68" i="22" s="1"/>
  <c r="C68" i="22"/>
  <c r="E68" i="22"/>
  <c r="F68" i="22" s="1"/>
  <c r="D36" i="12" l="1"/>
  <c r="E69" i="22"/>
  <c r="F69" i="22" s="1"/>
  <c r="C69" i="22"/>
  <c r="A69" i="22"/>
  <c r="I69" i="22"/>
  <c r="D70" i="22"/>
  <c r="B70" i="22"/>
  <c r="G69" i="22"/>
  <c r="H69" i="22" s="1"/>
  <c r="C29" i="20"/>
  <c r="M34" i="10"/>
  <c r="I34" i="10"/>
  <c r="D29" i="20" s="1"/>
  <c r="H34" i="10"/>
  <c r="G29" i="20" s="1"/>
  <c r="AB36" i="1" s="1"/>
  <c r="Y36" i="1"/>
  <c r="N34" i="10"/>
  <c r="E30" i="18"/>
  <c r="T37" i="1"/>
  <c r="C35" i="8"/>
  <c r="C29" i="16"/>
  <c r="I34" i="6"/>
  <c r="D29" i="16" s="1"/>
  <c r="H34" i="6"/>
  <c r="G29" i="16" s="1"/>
  <c r="P36" i="1" s="1"/>
  <c r="M34" i="6"/>
  <c r="M36" i="1"/>
  <c r="N34" i="6"/>
  <c r="I44" i="11"/>
  <c r="H44" i="11"/>
  <c r="M44" i="11"/>
  <c r="N44" i="11"/>
  <c r="D45" i="11" l="1"/>
  <c r="C45" i="11"/>
  <c r="D35" i="10"/>
  <c r="D35" i="6"/>
  <c r="B71" i="22"/>
  <c r="G70" i="22"/>
  <c r="H70" i="22" s="1"/>
  <c r="E70" i="22"/>
  <c r="F70" i="22" s="1"/>
  <c r="C70" i="22"/>
  <c r="I70" i="22"/>
  <c r="A70" i="22"/>
  <c r="D71" i="22"/>
  <c r="C30" i="18"/>
  <c r="I35" i="8"/>
  <c r="D30" i="18" s="1"/>
  <c r="H35" i="8"/>
  <c r="G30" i="18" s="1"/>
  <c r="V37" i="1" s="1"/>
  <c r="M35" i="8"/>
  <c r="S37" i="1"/>
  <c r="N35" i="8"/>
  <c r="AE37" i="1"/>
  <c r="C36" i="12"/>
  <c r="C71" i="22" l="1"/>
  <c r="A71" i="22"/>
  <c r="D72" i="22"/>
  <c r="B72" i="22"/>
  <c r="G71" i="22"/>
  <c r="H71" i="22" s="1"/>
  <c r="E71" i="22"/>
  <c r="F71" i="22" s="1"/>
  <c r="I71" i="22"/>
  <c r="E30" i="16"/>
  <c r="N37" i="1"/>
  <c r="C35" i="6"/>
  <c r="M36" i="12"/>
  <c r="I36" i="12"/>
  <c r="H36" i="12"/>
  <c r="AD37" i="1"/>
  <c r="AF37" i="1" s="1"/>
  <c r="N36" i="12"/>
  <c r="E30" i="20"/>
  <c r="Z37" i="1"/>
  <c r="C35" i="10"/>
  <c r="D36" i="8"/>
  <c r="I45" i="11"/>
  <c r="M45" i="11"/>
  <c r="H45" i="11"/>
  <c r="N45" i="11"/>
  <c r="D37" i="12" l="1"/>
  <c r="D73" i="22"/>
  <c r="I72" i="22"/>
  <c r="E72" i="22"/>
  <c r="F72" i="22" s="1"/>
  <c r="B73" i="22"/>
  <c r="C72" i="22"/>
  <c r="A72" i="22"/>
  <c r="G72" i="22"/>
  <c r="H72" i="22" s="1"/>
  <c r="C30" i="16"/>
  <c r="M35" i="6"/>
  <c r="H35" i="6"/>
  <c r="G30" i="16" s="1"/>
  <c r="P37" i="1" s="1"/>
  <c r="I35" i="6"/>
  <c r="D30" i="16" s="1"/>
  <c r="M37" i="1"/>
  <c r="N35" i="6"/>
  <c r="D46" i="11"/>
  <c r="C46" i="11"/>
  <c r="E31" i="18"/>
  <c r="T38" i="1"/>
  <c r="C36" i="8"/>
  <c r="C30" i="20"/>
  <c r="H35" i="10"/>
  <c r="G30" i="20" s="1"/>
  <c r="AB37" i="1" s="1"/>
  <c r="I35" i="10"/>
  <c r="D30" i="20" s="1"/>
  <c r="M35" i="10"/>
  <c r="Y37" i="1"/>
  <c r="N35" i="10"/>
  <c r="D36" i="6" l="1"/>
  <c r="A73" i="22"/>
  <c r="D74" i="22"/>
  <c r="B74" i="22"/>
  <c r="G73" i="22"/>
  <c r="H73" i="22" s="1"/>
  <c r="E73" i="22"/>
  <c r="F73" i="22" s="1"/>
  <c r="C73" i="22"/>
  <c r="I73" i="22"/>
  <c r="C31" i="18"/>
  <c r="H36" i="8"/>
  <c r="G31" i="18" s="1"/>
  <c r="V38" i="1" s="1"/>
  <c r="M36" i="8"/>
  <c r="I36" i="8"/>
  <c r="D31" i="18" s="1"/>
  <c r="S38" i="1"/>
  <c r="N36" i="8"/>
  <c r="D36" i="10"/>
  <c r="H46" i="11"/>
  <c r="M46" i="11"/>
  <c r="I46" i="11"/>
  <c r="AE38" i="1"/>
  <c r="C37" i="12"/>
  <c r="N46" i="11"/>
  <c r="H37" i="12" l="1"/>
  <c r="M37" i="12"/>
  <c r="I37" i="12"/>
  <c r="AD38" i="1"/>
  <c r="AF38" i="1" s="1"/>
  <c r="N37" i="12"/>
  <c r="D37" i="8"/>
  <c r="D47" i="11"/>
  <c r="C47" i="11"/>
  <c r="B75" i="22"/>
  <c r="G74" i="22"/>
  <c r="H74" i="22" s="1"/>
  <c r="C74" i="22"/>
  <c r="E74" i="22"/>
  <c r="F74" i="22" s="1"/>
  <c r="A74" i="22"/>
  <c r="D75" i="22"/>
  <c r="I74" i="22"/>
  <c r="E31" i="20"/>
  <c r="Z38" i="1"/>
  <c r="C36" i="10"/>
  <c r="E31" i="16"/>
  <c r="N38" i="1"/>
  <c r="C36" i="6"/>
  <c r="C31" i="16" l="1"/>
  <c r="I36" i="6"/>
  <c r="D31" i="16" s="1"/>
  <c r="M36" i="6"/>
  <c r="H36" i="6"/>
  <c r="G31" i="16" s="1"/>
  <c r="P38" i="1" s="1"/>
  <c r="M38" i="1"/>
  <c r="N36" i="6"/>
  <c r="E32" i="18"/>
  <c r="T39" i="1"/>
  <c r="C37" i="8"/>
  <c r="M47" i="11"/>
  <c r="I47" i="11"/>
  <c r="H47" i="11"/>
  <c r="D38" i="12"/>
  <c r="D76" i="22"/>
  <c r="B76" i="22"/>
  <c r="I75" i="22"/>
  <c r="E75" i="22"/>
  <c r="F75" i="22" s="1"/>
  <c r="C75" i="22"/>
  <c r="A75" i="22"/>
  <c r="G75" i="22"/>
  <c r="H75" i="22" s="1"/>
  <c r="N47" i="11"/>
  <c r="C31" i="20"/>
  <c r="I36" i="10"/>
  <c r="D31" i="20" s="1"/>
  <c r="H36" i="10"/>
  <c r="G31" i="20" s="1"/>
  <c r="AB38" i="1" s="1"/>
  <c r="M36" i="10"/>
  <c r="Y38" i="1"/>
  <c r="N36" i="10"/>
  <c r="AE39" i="1" l="1"/>
  <c r="C38" i="12"/>
  <c r="D37" i="10"/>
  <c r="C32" i="18"/>
  <c r="I37" i="8"/>
  <c r="D32" i="18" s="1"/>
  <c r="M37" i="8"/>
  <c r="H37" i="8"/>
  <c r="G32" i="18" s="1"/>
  <c r="V39" i="1" s="1"/>
  <c r="S39" i="1"/>
  <c r="N37" i="8"/>
  <c r="D48" i="11"/>
  <c r="C48" i="11"/>
  <c r="D37" i="6"/>
  <c r="I76" i="22"/>
  <c r="E76" i="22"/>
  <c r="F76" i="22" s="1"/>
  <c r="A76" i="22"/>
  <c r="B77" i="22"/>
  <c r="G76" i="22"/>
  <c r="H76" i="22" s="1"/>
  <c r="C76" i="22"/>
  <c r="D77" i="22"/>
  <c r="I48" i="11" l="1"/>
  <c r="H48" i="11"/>
  <c r="M48" i="11"/>
  <c r="D38" i="8"/>
  <c r="N48" i="11"/>
  <c r="D78" i="22"/>
  <c r="B78" i="22"/>
  <c r="I77" i="22"/>
  <c r="G77" i="22"/>
  <c r="H77" i="22" s="1"/>
  <c r="A77" i="22"/>
  <c r="C77" i="22"/>
  <c r="E77" i="22"/>
  <c r="F77" i="22" s="1"/>
  <c r="E32" i="16"/>
  <c r="N39" i="1"/>
  <c r="C37" i="6"/>
  <c r="E32" i="20"/>
  <c r="Z39" i="1"/>
  <c r="C37" i="10"/>
  <c r="M38" i="12"/>
  <c r="I38" i="12"/>
  <c r="H38" i="12"/>
  <c r="AD39" i="1"/>
  <c r="AF39" i="1" s="1"/>
  <c r="N38" i="12"/>
  <c r="C32" i="16" l="1"/>
  <c r="H37" i="6"/>
  <c r="G32" i="16" s="1"/>
  <c r="P39" i="1" s="1"/>
  <c r="I37" i="6"/>
  <c r="D32" i="16" s="1"/>
  <c r="M37" i="6"/>
  <c r="M39" i="1"/>
  <c r="N37" i="6"/>
  <c r="D49" i="11"/>
  <c r="C49" i="11"/>
  <c r="D39" i="12"/>
  <c r="G78" i="22"/>
  <c r="H78" i="22" s="1"/>
  <c r="C78" i="22"/>
  <c r="B79" i="22"/>
  <c r="I78" i="22"/>
  <c r="D79" i="22"/>
  <c r="E78" i="22"/>
  <c r="F78" i="22" s="1"/>
  <c r="A78" i="22"/>
  <c r="E33" i="18"/>
  <c r="T40" i="1"/>
  <c r="C38" i="8"/>
  <c r="C32" i="20"/>
  <c r="H37" i="10"/>
  <c r="G32" i="20" s="1"/>
  <c r="AB39" i="1" s="1"/>
  <c r="M37" i="10"/>
  <c r="I37" i="10"/>
  <c r="D32" i="20" s="1"/>
  <c r="Y39" i="1"/>
  <c r="N37" i="10"/>
  <c r="D38" i="10" l="1"/>
  <c r="AE40" i="1"/>
  <c r="C39" i="12"/>
  <c r="D38" i="6"/>
  <c r="C33" i="18"/>
  <c r="M38" i="8"/>
  <c r="H38" i="8"/>
  <c r="G33" i="18" s="1"/>
  <c r="V40" i="1" s="1"/>
  <c r="I38" i="8"/>
  <c r="D33" i="18" s="1"/>
  <c r="S40" i="1"/>
  <c r="N38" i="8"/>
  <c r="B80" i="22"/>
  <c r="I79" i="22"/>
  <c r="G79" i="22"/>
  <c r="H79" i="22" s="1"/>
  <c r="E79" i="22"/>
  <c r="F79" i="22" s="1"/>
  <c r="C79" i="22"/>
  <c r="D80" i="22"/>
  <c r="A79" i="22"/>
  <c r="M49" i="11"/>
  <c r="I49" i="11"/>
  <c r="H49" i="11"/>
  <c r="N49" i="11"/>
  <c r="E80" i="22" l="1"/>
  <c r="F80" i="22" s="1"/>
  <c r="A80" i="22"/>
  <c r="D81" i="22"/>
  <c r="C80" i="22"/>
  <c r="I80" i="22"/>
  <c r="G80" i="22"/>
  <c r="H80" i="22" s="1"/>
  <c r="B81" i="22"/>
  <c r="D50" i="11"/>
  <c r="C50" i="11"/>
  <c r="E33" i="16"/>
  <c r="N40" i="1"/>
  <c r="C38" i="6"/>
  <c r="D18" i="6"/>
  <c r="M39" i="12"/>
  <c r="I39" i="12"/>
  <c r="H39" i="12"/>
  <c r="AD40" i="1"/>
  <c r="AF40" i="1" s="1"/>
  <c r="N39" i="12"/>
  <c r="D39" i="8"/>
  <c r="E33" i="20"/>
  <c r="Z40" i="1"/>
  <c r="C38" i="10"/>
  <c r="M50" i="11" l="1"/>
  <c r="H50" i="11"/>
  <c r="I50" i="11"/>
  <c r="I81" i="22"/>
  <c r="G81" i="22"/>
  <c r="H81" i="22" s="1"/>
  <c r="E81" i="22"/>
  <c r="F81" i="22" s="1"/>
  <c r="C81" i="22"/>
  <c r="B82" i="22"/>
  <c r="D82" i="22"/>
  <c r="A81" i="22"/>
  <c r="C33" i="16"/>
  <c r="C34" i="16" s="1"/>
  <c r="H38" i="6"/>
  <c r="I38" i="6"/>
  <c r="D33" i="16" s="1"/>
  <c r="D34" i="16" s="1"/>
  <c r="M38" i="6"/>
  <c r="M40" i="1"/>
  <c r="C18" i="6"/>
  <c r="N38" i="6"/>
  <c r="N39" i="6" s="1"/>
  <c r="N40" i="6" s="1"/>
  <c r="N41" i="6" s="1"/>
  <c r="N42" i="6" s="1"/>
  <c r="N43" i="6" s="1"/>
  <c r="N44" i="6" s="1"/>
  <c r="N45" i="6" s="1"/>
  <c r="N46" i="6" s="1"/>
  <c r="N47" i="6" s="1"/>
  <c r="N48" i="6" s="1"/>
  <c r="N49" i="6" s="1"/>
  <c r="N50" i="6" s="1"/>
  <c r="N51" i="6" s="1"/>
  <c r="N52" i="6" s="1"/>
  <c r="N53" i="6" s="1"/>
  <c r="N54" i="6" s="1"/>
  <c r="N55" i="6" s="1"/>
  <c r="N56" i="6" s="1"/>
  <c r="N57" i="6" s="1"/>
  <c r="N58" i="6" s="1"/>
  <c r="N59" i="6" s="1"/>
  <c r="N60" i="6" s="1"/>
  <c r="N61" i="6" s="1"/>
  <c r="N62" i="6" s="1"/>
  <c r="N63" i="6" s="1"/>
  <c r="N64" i="6" s="1"/>
  <c r="N65" i="6" s="1"/>
  <c r="N66" i="6" s="1"/>
  <c r="N67" i="6" s="1"/>
  <c r="N68" i="6" s="1"/>
  <c r="N69" i="6" s="1"/>
  <c r="N70" i="6" s="1"/>
  <c r="N71" i="6" s="1"/>
  <c r="N72" i="6" s="1"/>
  <c r="N73" i="6" s="1"/>
  <c r="N74" i="6" s="1"/>
  <c r="N75" i="6" s="1"/>
  <c r="N76" i="6" s="1"/>
  <c r="N77" i="6" s="1"/>
  <c r="N78" i="6" s="1"/>
  <c r="N79" i="6" s="1"/>
  <c r="N80" i="6" s="1"/>
  <c r="N81" i="6" s="1"/>
  <c r="N82" i="6" s="1"/>
  <c r="N83" i="6" s="1"/>
  <c r="N84" i="6" s="1"/>
  <c r="N85" i="6" s="1"/>
  <c r="N86" i="6" s="1"/>
  <c r="N87" i="6" s="1"/>
  <c r="N88" i="6" s="1"/>
  <c r="N89" i="6" s="1"/>
  <c r="N90" i="6" s="1"/>
  <c r="N91" i="6" s="1"/>
  <c r="N92" i="6" s="1"/>
  <c r="N93" i="6" s="1"/>
  <c r="N94" i="6" s="1"/>
  <c r="N95" i="6" s="1"/>
  <c r="N96" i="6" s="1"/>
  <c r="N97" i="6" s="1"/>
  <c r="N98" i="6" s="1"/>
  <c r="N99" i="6" s="1"/>
  <c r="N100" i="6" s="1"/>
  <c r="N101" i="6" s="1"/>
  <c r="N102" i="6" s="1"/>
  <c r="N103" i="6" s="1"/>
  <c r="N104" i="6" s="1"/>
  <c r="C33" i="20"/>
  <c r="I38" i="10"/>
  <c r="D33" i="20" s="1"/>
  <c r="H38" i="10"/>
  <c r="G33" i="20" s="1"/>
  <c r="AB40" i="1" s="1"/>
  <c r="M38" i="10"/>
  <c r="Y40" i="1"/>
  <c r="N38" i="10"/>
  <c r="N50" i="11"/>
  <c r="E34" i="18"/>
  <c r="T41" i="1"/>
  <c r="C39" i="8"/>
  <c r="D40" i="12"/>
  <c r="F16" i="6" l="1"/>
  <c r="M18" i="6"/>
  <c r="C34" i="18"/>
  <c r="M39" i="8"/>
  <c r="H39" i="8"/>
  <c r="G34" i="18" s="1"/>
  <c r="V41" i="1" s="1"/>
  <c r="I39" i="8"/>
  <c r="D34" i="18" s="1"/>
  <c r="S41" i="1"/>
  <c r="N39" i="8"/>
  <c r="D51" i="11"/>
  <c r="C51" i="11"/>
  <c r="C82" i="22"/>
  <c r="B83" i="22"/>
  <c r="E82" i="22"/>
  <c r="F82" i="22" s="1"/>
  <c r="A82" i="22"/>
  <c r="D83" i="22"/>
  <c r="I82" i="22"/>
  <c r="G82" i="22"/>
  <c r="H82" i="22" s="1"/>
  <c r="D39" i="10"/>
  <c r="AE41" i="1"/>
  <c r="C40" i="12"/>
  <c r="G33" i="16"/>
  <c r="P40" i="1" s="1"/>
  <c r="H18" i="6"/>
  <c r="G83" i="22" l="1"/>
  <c r="H83" i="22" s="1"/>
  <c r="E83" i="22"/>
  <c r="F83" i="22" s="1"/>
  <c r="C83" i="22"/>
  <c r="A83" i="22"/>
  <c r="B84" i="22"/>
  <c r="I83" i="22"/>
  <c r="D84" i="22"/>
  <c r="M51" i="11"/>
  <c r="I51" i="11"/>
  <c r="H51" i="11"/>
  <c r="N51" i="11"/>
  <c r="D40" i="8"/>
  <c r="I40" i="12"/>
  <c r="M40" i="12"/>
  <c r="H40" i="12"/>
  <c r="AD41" i="1"/>
  <c r="AF41" i="1" s="1"/>
  <c r="N40" i="12"/>
  <c r="E34" i="20"/>
  <c r="Z41" i="1"/>
  <c r="C39" i="10"/>
  <c r="E35" i="18" l="1"/>
  <c r="T42" i="1"/>
  <c r="C40" i="8"/>
  <c r="D52" i="11"/>
  <c r="C52" i="11"/>
  <c r="A84" i="22"/>
  <c r="D85" i="22"/>
  <c r="I84" i="22"/>
  <c r="B85" i="22"/>
  <c r="G84" i="22"/>
  <c r="H84" i="22" s="1"/>
  <c r="E84" i="22"/>
  <c r="F84" i="22" s="1"/>
  <c r="C84" i="22"/>
  <c r="C34" i="20"/>
  <c r="H39" i="10"/>
  <c r="G34" i="20" s="1"/>
  <c r="AB41" i="1" s="1"/>
  <c r="M39" i="10"/>
  <c r="I39" i="10"/>
  <c r="D34" i="20" s="1"/>
  <c r="Y41" i="1"/>
  <c r="N39" i="10"/>
  <c r="D41" i="12"/>
  <c r="M52" i="11" l="1"/>
  <c r="H52" i="11"/>
  <c r="I52" i="11"/>
  <c r="E85" i="22"/>
  <c r="F85" i="22" s="1"/>
  <c r="C85" i="22"/>
  <c r="A85" i="22"/>
  <c r="I85" i="22"/>
  <c r="G85" i="22"/>
  <c r="H85" i="22" s="1"/>
  <c r="D86" i="22"/>
  <c r="B86" i="22"/>
  <c r="N52" i="11"/>
  <c r="AE42" i="1"/>
  <c r="C41" i="12"/>
  <c r="D40" i="10"/>
  <c r="C35" i="18"/>
  <c r="I40" i="8"/>
  <c r="D35" i="18" s="1"/>
  <c r="M40" i="8"/>
  <c r="H40" i="8"/>
  <c r="G35" i="18" s="1"/>
  <c r="V42" i="1" s="1"/>
  <c r="S42" i="1"/>
  <c r="N40" i="8"/>
  <c r="D53" i="11" l="1"/>
  <c r="C53" i="11"/>
  <c r="N53" i="11" s="1"/>
  <c r="E35" i="20"/>
  <c r="Z42" i="1"/>
  <c r="C40" i="10"/>
  <c r="B87" i="22"/>
  <c r="G86" i="22"/>
  <c r="H86" i="22" s="1"/>
  <c r="C86" i="22"/>
  <c r="I86" i="22"/>
  <c r="E86" i="22"/>
  <c r="F86" i="22" s="1"/>
  <c r="A86" i="22"/>
  <c r="D87" i="22"/>
  <c r="M41" i="12"/>
  <c r="H41" i="12"/>
  <c r="I41" i="12"/>
  <c r="AD42" i="1"/>
  <c r="AF42" i="1" s="1"/>
  <c r="N41" i="12"/>
  <c r="D41" i="8"/>
  <c r="D54" i="11" l="1"/>
  <c r="C54" i="11"/>
  <c r="N54" i="11" s="1"/>
  <c r="C87" i="22"/>
  <c r="A87" i="22"/>
  <c r="D88" i="22"/>
  <c r="B88" i="22"/>
  <c r="E87" i="22"/>
  <c r="F87" i="22" s="1"/>
  <c r="I87" i="22"/>
  <c r="G87" i="22"/>
  <c r="H87" i="22" s="1"/>
  <c r="C35" i="20"/>
  <c r="M40" i="10"/>
  <c r="I40" i="10"/>
  <c r="D35" i="20" s="1"/>
  <c r="H40" i="10"/>
  <c r="G35" i="20" s="1"/>
  <c r="AB42" i="1" s="1"/>
  <c r="Y42" i="1"/>
  <c r="N40" i="10"/>
  <c r="E36" i="18"/>
  <c r="T43" i="1"/>
  <c r="C41" i="8"/>
  <c r="H53" i="11"/>
  <c r="M53" i="11"/>
  <c r="I53" i="11"/>
  <c r="D42" i="12"/>
  <c r="D55" i="11" l="1"/>
  <c r="C55" i="11"/>
  <c r="AE43" i="1"/>
  <c r="C42" i="12"/>
  <c r="D89" i="22"/>
  <c r="I88" i="22"/>
  <c r="E88" i="22"/>
  <c r="F88" i="22" s="1"/>
  <c r="B89" i="22"/>
  <c r="G88" i="22"/>
  <c r="H88" i="22" s="1"/>
  <c r="A88" i="22"/>
  <c r="C88" i="22"/>
  <c r="C36" i="18"/>
  <c r="H41" i="8"/>
  <c r="G36" i="18" s="1"/>
  <c r="V43" i="1" s="1"/>
  <c r="M41" i="8"/>
  <c r="I41" i="8"/>
  <c r="D36" i="18" s="1"/>
  <c r="S43" i="1"/>
  <c r="N41" i="8"/>
  <c r="D41" i="10"/>
  <c r="H54" i="11"/>
  <c r="I54" i="11"/>
  <c r="M54" i="11"/>
  <c r="A89" i="22" l="1"/>
  <c r="D90" i="22"/>
  <c r="B90" i="22"/>
  <c r="G89" i="22"/>
  <c r="H89" i="22" s="1"/>
  <c r="E89" i="22"/>
  <c r="F89" i="22" s="1"/>
  <c r="I89" i="22"/>
  <c r="C89" i="22"/>
  <c r="E36" i="20"/>
  <c r="Z43" i="1"/>
  <c r="C41" i="10"/>
  <c r="I42" i="12"/>
  <c r="M42" i="12"/>
  <c r="H42" i="12"/>
  <c r="AD43" i="1"/>
  <c r="AF43" i="1" s="1"/>
  <c r="N42" i="12"/>
  <c r="D42" i="8"/>
  <c r="I55" i="11"/>
  <c r="M55" i="11"/>
  <c r="H55" i="11"/>
  <c r="N55" i="11"/>
  <c r="D43" i="12" l="1"/>
  <c r="E37" i="18"/>
  <c r="T44" i="1"/>
  <c r="C42" i="8"/>
  <c r="C36" i="20"/>
  <c r="I41" i="10"/>
  <c r="D36" i="20" s="1"/>
  <c r="M41" i="10"/>
  <c r="H41" i="10"/>
  <c r="G36" i="20" s="1"/>
  <c r="AB43" i="1" s="1"/>
  <c r="Y43" i="1"/>
  <c r="N41" i="10"/>
  <c r="D56" i="11"/>
  <c r="C56" i="11"/>
  <c r="N56" i="11" s="1"/>
  <c r="B91" i="22"/>
  <c r="G90" i="22"/>
  <c r="H90" i="22" s="1"/>
  <c r="C90" i="22"/>
  <c r="D91" i="22"/>
  <c r="I90" i="22"/>
  <c r="E90" i="22"/>
  <c r="F90" i="22" s="1"/>
  <c r="A90" i="22"/>
  <c r="D57" i="11" l="1"/>
  <c r="C57" i="11"/>
  <c r="D92" i="22"/>
  <c r="B92" i="22"/>
  <c r="I91" i="22"/>
  <c r="G91" i="22"/>
  <c r="H91" i="22" s="1"/>
  <c r="E91" i="22"/>
  <c r="F91" i="22" s="1"/>
  <c r="C91" i="22"/>
  <c r="A91" i="22"/>
  <c r="D42" i="10"/>
  <c r="H56" i="11"/>
  <c r="M56" i="11"/>
  <c r="I56" i="11"/>
  <c r="C37" i="18"/>
  <c r="M42" i="8"/>
  <c r="I42" i="8"/>
  <c r="D37" i="18" s="1"/>
  <c r="H42" i="8"/>
  <c r="G37" i="18" s="1"/>
  <c r="V44" i="1" s="1"/>
  <c r="S44" i="1"/>
  <c r="N42" i="8"/>
  <c r="AE44" i="1"/>
  <c r="C43" i="12"/>
  <c r="E37" i="20" l="1"/>
  <c r="Z44" i="1"/>
  <c r="C42" i="10"/>
  <c r="D43" i="8"/>
  <c r="H43" i="12"/>
  <c r="M43" i="12"/>
  <c r="I43" i="12"/>
  <c r="AD44" i="1"/>
  <c r="AF44" i="1" s="1"/>
  <c r="N43" i="12"/>
  <c r="I92" i="22"/>
  <c r="E92" i="22"/>
  <c r="F92" i="22" s="1"/>
  <c r="A92" i="22"/>
  <c r="G92" i="22"/>
  <c r="H92" i="22" s="1"/>
  <c r="C92" i="22"/>
  <c r="D93" i="22"/>
  <c r="B93" i="22"/>
  <c r="M57" i="11"/>
  <c r="H57" i="11"/>
  <c r="I57" i="11"/>
  <c r="N57" i="11"/>
  <c r="D44" i="12" l="1"/>
  <c r="D58" i="11"/>
  <c r="C58" i="11"/>
  <c r="N58" i="11" s="1"/>
  <c r="E38" i="18"/>
  <c r="T45" i="1"/>
  <c r="C43" i="8"/>
  <c r="C37" i="20"/>
  <c r="M42" i="10"/>
  <c r="H42" i="10"/>
  <c r="G37" i="20" s="1"/>
  <c r="AB44" i="1" s="1"/>
  <c r="I42" i="10"/>
  <c r="D37" i="20" s="1"/>
  <c r="Y44" i="1"/>
  <c r="N42" i="10"/>
  <c r="D94" i="22"/>
  <c r="B94" i="22"/>
  <c r="I93" i="22"/>
  <c r="G93" i="22"/>
  <c r="H93" i="22" s="1"/>
  <c r="A93" i="22"/>
  <c r="E93" i="22"/>
  <c r="F93" i="22" s="1"/>
  <c r="C93" i="22"/>
  <c r="D59" i="11" l="1"/>
  <c r="C59" i="11"/>
  <c r="G94" i="22"/>
  <c r="H94" i="22" s="1"/>
  <c r="C94" i="22"/>
  <c r="B95" i="22"/>
  <c r="D95" i="22"/>
  <c r="I94" i="22"/>
  <c r="E94" i="22"/>
  <c r="F94" i="22" s="1"/>
  <c r="A94" i="22"/>
  <c r="C38" i="18"/>
  <c r="M43" i="8"/>
  <c r="I43" i="8"/>
  <c r="D38" i="18" s="1"/>
  <c r="H43" i="8"/>
  <c r="G38" i="18" s="1"/>
  <c r="V45" i="1" s="1"/>
  <c r="S45" i="1"/>
  <c r="N43" i="8"/>
  <c r="D43" i="10"/>
  <c r="M58" i="11"/>
  <c r="I58" i="11"/>
  <c r="H58" i="11"/>
  <c r="AE45" i="1"/>
  <c r="C44" i="12"/>
  <c r="M44" i="12" l="1"/>
  <c r="I44" i="12"/>
  <c r="H44" i="12"/>
  <c r="AD45" i="1"/>
  <c r="AF45" i="1" s="1"/>
  <c r="N44" i="12"/>
  <c r="B96" i="22"/>
  <c r="I95" i="22"/>
  <c r="G95" i="22"/>
  <c r="H95" i="22" s="1"/>
  <c r="E95" i="22"/>
  <c r="F95" i="22" s="1"/>
  <c r="A95" i="22"/>
  <c r="C95" i="22"/>
  <c r="D96" i="22"/>
  <c r="D44" i="8"/>
  <c r="C44" i="8"/>
  <c r="M59" i="11"/>
  <c r="I59" i="11"/>
  <c r="H59" i="11"/>
  <c r="E38" i="20"/>
  <c r="Z45" i="1"/>
  <c r="C43" i="10"/>
  <c r="N59" i="11"/>
  <c r="C39" i="18" l="1"/>
  <c r="C40" i="18" s="1"/>
  <c r="H44" i="8"/>
  <c r="M44" i="8"/>
  <c r="I44" i="8"/>
  <c r="D39" i="18" s="1"/>
  <c r="D40" i="18" s="1"/>
  <c r="S46" i="1"/>
  <c r="C18" i="8"/>
  <c r="N44" i="8"/>
  <c r="N45" i="8" s="1"/>
  <c r="N46" i="8" s="1"/>
  <c r="N47" i="8" s="1"/>
  <c r="N48" i="8" s="1"/>
  <c r="N49" i="8" s="1"/>
  <c r="N50" i="8" s="1"/>
  <c r="N51" i="8" s="1"/>
  <c r="N52" i="8" s="1"/>
  <c r="N53" i="8" s="1"/>
  <c r="N54" i="8" s="1"/>
  <c r="N55" i="8" s="1"/>
  <c r="N56" i="8" s="1"/>
  <c r="N57" i="8" s="1"/>
  <c r="N58" i="8" s="1"/>
  <c r="N59" i="8" s="1"/>
  <c r="N60" i="8" s="1"/>
  <c r="N61" i="8" s="1"/>
  <c r="N62" i="8" s="1"/>
  <c r="N63" i="8" s="1"/>
  <c r="N64" i="8" s="1"/>
  <c r="N65" i="8" s="1"/>
  <c r="N66" i="8" s="1"/>
  <c r="N67" i="8" s="1"/>
  <c r="N68" i="8" s="1"/>
  <c r="N69" i="8" s="1"/>
  <c r="N70" i="8" s="1"/>
  <c r="N71" i="8" s="1"/>
  <c r="N72" i="8" s="1"/>
  <c r="N73" i="8" s="1"/>
  <c r="N74" i="8" s="1"/>
  <c r="N75" i="8" s="1"/>
  <c r="N76" i="8" s="1"/>
  <c r="N77" i="8" s="1"/>
  <c r="N78" i="8" s="1"/>
  <c r="N79" i="8" s="1"/>
  <c r="N80" i="8" s="1"/>
  <c r="N81" i="8" s="1"/>
  <c r="N82" i="8" s="1"/>
  <c r="N83" i="8" s="1"/>
  <c r="N84" i="8" s="1"/>
  <c r="N85" i="8" s="1"/>
  <c r="N86" i="8" s="1"/>
  <c r="N87" i="8" s="1"/>
  <c r="N88" i="8" s="1"/>
  <c r="N89" i="8" s="1"/>
  <c r="N90" i="8" s="1"/>
  <c r="N91" i="8" s="1"/>
  <c r="N92" i="8" s="1"/>
  <c r="N93" i="8" s="1"/>
  <c r="N94" i="8" s="1"/>
  <c r="N95" i="8" s="1"/>
  <c r="N96" i="8" s="1"/>
  <c r="N97" i="8" s="1"/>
  <c r="N98" i="8" s="1"/>
  <c r="N99" i="8" s="1"/>
  <c r="N100" i="8" s="1"/>
  <c r="N101" i="8" s="1"/>
  <c r="N102" i="8" s="1"/>
  <c r="N103" i="8" s="1"/>
  <c r="N104" i="8" s="1"/>
  <c r="I96" i="22"/>
  <c r="E96" i="22"/>
  <c r="F96" i="22" s="1"/>
  <c r="A96" i="22"/>
  <c r="D97" i="22"/>
  <c r="C96" i="22"/>
  <c r="G96" i="22"/>
  <c r="H96" i="22" s="1"/>
  <c r="B97" i="22"/>
  <c r="E39" i="18"/>
  <c r="T46" i="1"/>
  <c r="D18" i="8"/>
  <c r="J2" i="8"/>
  <c r="D60" i="11"/>
  <c r="C60" i="11"/>
  <c r="C38" i="20"/>
  <c r="M43" i="10"/>
  <c r="H43" i="10"/>
  <c r="G38" i="20" s="1"/>
  <c r="AB45" i="1" s="1"/>
  <c r="I43" i="10"/>
  <c r="D38" i="20" s="1"/>
  <c r="Y45" i="1"/>
  <c r="N43" i="10"/>
  <c r="D45" i="12"/>
  <c r="I97" i="22" l="1"/>
  <c r="G97" i="22"/>
  <c r="H97" i="22" s="1"/>
  <c r="E97" i="22"/>
  <c r="F97" i="22" s="1"/>
  <c r="C97" i="22"/>
  <c r="B98" i="22"/>
  <c r="A97" i="22"/>
  <c r="D98" i="22"/>
  <c r="AE46" i="1"/>
  <c r="C45" i="12"/>
  <c r="D44" i="10"/>
  <c r="I60" i="11"/>
  <c r="H60" i="11"/>
  <c r="M60" i="11"/>
  <c r="N60" i="11"/>
  <c r="M18" i="8"/>
  <c r="F16" i="8"/>
  <c r="G39" i="18"/>
  <c r="V46" i="1" s="1"/>
  <c r="H18" i="8"/>
  <c r="D61" i="11" l="1"/>
  <c r="C61" i="11"/>
  <c r="E39" i="20"/>
  <c r="Z46" i="1"/>
  <c r="C44" i="10"/>
  <c r="G98" i="22"/>
  <c r="H98" i="22" s="1"/>
  <c r="C98" i="22"/>
  <c r="B99" i="22"/>
  <c r="E98" i="22"/>
  <c r="F98" i="22" s="1"/>
  <c r="A98" i="22"/>
  <c r="D99" i="22"/>
  <c r="I98" i="22"/>
  <c r="M45" i="12"/>
  <c r="I45" i="12"/>
  <c r="H45" i="12"/>
  <c r="AD46" i="1"/>
  <c r="AF46" i="1" s="1"/>
  <c r="N45" i="12"/>
  <c r="G99" i="22" l="1"/>
  <c r="H99" i="22" s="1"/>
  <c r="E99" i="22"/>
  <c r="F99" i="22" s="1"/>
  <c r="C99" i="22"/>
  <c r="A99" i="22"/>
  <c r="D100" i="22"/>
  <c r="I99" i="22"/>
  <c r="B100" i="22"/>
  <c r="C39" i="20"/>
  <c r="I44" i="10"/>
  <c r="D39" i="20" s="1"/>
  <c r="M44" i="10"/>
  <c r="H44" i="10"/>
  <c r="G39" i="20" s="1"/>
  <c r="AB46" i="1" s="1"/>
  <c r="Y46" i="1"/>
  <c r="N44" i="10"/>
  <c r="I61" i="11"/>
  <c r="M61" i="11"/>
  <c r="H61" i="11"/>
  <c r="D46" i="12"/>
  <c r="N61" i="11"/>
  <c r="E100" i="22" l="1"/>
  <c r="F100" i="22" s="1"/>
  <c r="A100" i="22"/>
  <c r="D101" i="22"/>
  <c r="I100" i="22"/>
  <c r="B101" i="22"/>
  <c r="G100" i="22"/>
  <c r="H100" i="22" s="1"/>
  <c r="C100" i="22"/>
  <c r="D45" i="10"/>
  <c r="D62" i="11"/>
  <c r="C62" i="11"/>
  <c r="AE47" i="1"/>
  <c r="C46" i="12"/>
  <c r="H62" i="11" l="1"/>
  <c r="I62" i="11"/>
  <c r="M62" i="11"/>
  <c r="N62" i="11"/>
  <c r="M46" i="12"/>
  <c r="I46" i="12"/>
  <c r="H46" i="12"/>
  <c r="AD47" i="1"/>
  <c r="AF47" i="1" s="1"/>
  <c r="N46" i="12"/>
  <c r="E40" i="20"/>
  <c r="Z47" i="1"/>
  <c r="C45" i="10"/>
  <c r="E101" i="22"/>
  <c r="F101" i="22" s="1"/>
  <c r="C101" i="22"/>
  <c r="A101" i="22"/>
  <c r="B102" i="22"/>
  <c r="G101" i="22"/>
  <c r="H101" i="22" s="1"/>
  <c r="D102" i="22"/>
  <c r="I101" i="22"/>
  <c r="D47" i="12" l="1"/>
  <c r="C40" i="20"/>
  <c r="I45" i="10"/>
  <c r="D40" i="20" s="1"/>
  <c r="M45" i="10"/>
  <c r="H45" i="10"/>
  <c r="G40" i="20" s="1"/>
  <c r="AB47" i="1" s="1"/>
  <c r="Y47" i="1"/>
  <c r="N45" i="10"/>
  <c r="C102" i="22"/>
  <c r="B103" i="22"/>
  <c r="G102" i="22"/>
  <c r="H102" i="22" s="1"/>
  <c r="A102" i="22"/>
  <c r="D103" i="22"/>
  <c r="I102" i="22"/>
  <c r="E102" i="22"/>
  <c r="F102" i="22" s="1"/>
  <c r="N63" i="11"/>
  <c r="D63" i="11"/>
  <c r="C63" i="11"/>
  <c r="D46" i="10" l="1"/>
  <c r="D64" i="11"/>
  <c r="C64" i="11"/>
  <c r="C103" i="22"/>
  <c r="A103" i="22"/>
  <c r="D104" i="22"/>
  <c r="E103" i="22"/>
  <c r="F103" i="22" s="1"/>
  <c r="B104" i="22"/>
  <c r="I103" i="22"/>
  <c r="G103" i="22"/>
  <c r="H103" i="22" s="1"/>
  <c r="M63" i="11"/>
  <c r="H63" i="11"/>
  <c r="I63" i="11"/>
  <c r="AE48" i="1"/>
  <c r="C47" i="12"/>
  <c r="A104" i="22" l="1"/>
  <c r="D105" i="22"/>
  <c r="I104" i="22"/>
  <c r="E104" i="22"/>
  <c r="F104" i="22" s="1"/>
  <c r="B105" i="22"/>
  <c r="G104" i="22"/>
  <c r="H104" i="22" s="1"/>
  <c r="C104" i="22"/>
  <c r="I64" i="11"/>
  <c r="M64" i="11"/>
  <c r="H64" i="11"/>
  <c r="N64" i="11"/>
  <c r="I47" i="12"/>
  <c r="M47" i="12"/>
  <c r="H47" i="12"/>
  <c r="AD48" i="1"/>
  <c r="AF48" i="1" s="1"/>
  <c r="N47" i="12"/>
  <c r="E41" i="20"/>
  <c r="Z48" i="1"/>
  <c r="C46" i="10"/>
  <c r="D65" i="11" l="1"/>
  <c r="C65" i="11"/>
  <c r="D48" i="12"/>
  <c r="A105" i="22"/>
  <c r="D106" i="22"/>
  <c r="B106" i="22"/>
  <c r="G105" i="22"/>
  <c r="H105" i="22" s="1"/>
  <c r="C105" i="22"/>
  <c r="E105" i="22"/>
  <c r="F105" i="22" s="1"/>
  <c r="I105" i="22"/>
  <c r="C41" i="20"/>
  <c r="I46" i="10"/>
  <c r="D41" i="20" s="1"/>
  <c r="H46" i="10"/>
  <c r="G41" i="20" s="1"/>
  <c r="AB48" i="1" s="1"/>
  <c r="M46" i="10"/>
  <c r="Y48" i="1"/>
  <c r="N46" i="10"/>
  <c r="B107" i="22" l="1"/>
  <c r="G106" i="22"/>
  <c r="H106" i="22" s="1"/>
  <c r="C106" i="22"/>
  <c r="I106" i="22"/>
  <c r="E106" i="22"/>
  <c r="F106" i="22" s="1"/>
  <c r="A106" i="22"/>
  <c r="D107" i="22"/>
  <c r="AE49" i="1"/>
  <c r="C48" i="12"/>
  <c r="M65" i="11"/>
  <c r="I65" i="11"/>
  <c r="H65" i="11"/>
  <c r="D47" i="10"/>
  <c r="N65" i="11"/>
  <c r="E42" i="20" l="1"/>
  <c r="Z49" i="1"/>
  <c r="C47" i="10"/>
  <c r="I48" i="12"/>
  <c r="M48" i="12"/>
  <c r="H48" i="12"/>
  <c r="AD49" i="1"/>
  <c r="AF49" i="1" s="1"/>
  <c r="N48" i="12"/>
  <c r="D66" i="11"/>
  <c r="C66" i="11"/>
  <c r="D108" i="22"/>
  <c r="B108" i="22"/>
  <c r="I107" i="22"/>
  <c r="G107" i="22"/>
  <c r="H107" i="22" s="1"/>
  <c r="E107" i="22"/>
  <c r="F107" i="22" s="1"/>
  <c r="C107" i="22"/>
  <c r="A107" i="22"/>
  <c r="D49" i="12" l="1"/>
  <c r="D109" i="22"/>
  <c r="I108" i="22"/>
  <c r="E108" i="22"/>
  <c r="F108" i="22" s="1"/>
  <c r="A108" i="22"/>
  <c r="B109" i="22"/>
  <c r="G108" i="22"/>
  <c r="H108" i="22" s="1"/>
  <c r="C108" i="22"/>
  <c r="M66" i="11"/>
  <c r="H66" i="11"/>
  <c r="I66" i="11"/>
  <c r="N66" i="11"/>
  <c r="C42" i="20"/>
  <c r="I47" i="10"/>
  <c r="D42" i="20" s="1"/>
  <c r="H47" i="10"/>
  <c r="G42" i="20" s="1"/>
  <c r="AB49" i="1" s="1"/>
  <c r="M47" i="10"/>
  <c r="Y49" i="1"/>
  <c r="N47" i="10"/>
  <c r="D110" i="22" l="1"/>
  <c r="B110" i="22"/>
  <c r="I109" i="22"/>
  <c r="G109" i="22"/>
  <c r="H109" i="22" s="1"/>
  <c r="C109" i="22"/>
  <c r="A109" i="22"/>
  <c r="E109" i="22"/>
  <c r="F109" i="22" s="1"/>
  <c r="D67" i="11"/>
  <c r="C67" i="11"/>
  <c r="D48" i="10"/>
  <c r="AE50" i="1"/>
  <c r="C49" i="12"/>
  <c r="E43" i="20" l="1"/>
  <c r="Z50" i="1"/>
  <c r="C48" i="10"/>
  <c r="M49" i="12"/>
  <c r="I49" i="12"/>
  <c r="H49" i="12"/>
  <c r="AD50" i="1"/>
  <c r="AF50" i="1" s="1"/>
  <c r="N49" i="12"/>
  <c r="M67" i="11"/>
  <c r="I67" i="11"/>
  <c r="H67" i="11"/>
  <c r="N67" i="11"/>
  <c r="B111" i="22"/>
  <c r="G110" i="22"/>
  <c r="H110" i="22" s="1"/>
  <c r="C110" i="22"/>
  <c r="E110" i="22"/>
  <c r="F110" i="22" s="1"/>
  <c r="A110" i="22"/>
  <c r="I110" i="22"/>
  <c r="D111" i="22"/>
  <c r="B112" i="22" l="1"/>
  <c r="I111" i="22"/>
  <c r="G111" i="22"/>
  <c r="H111" i="22" s="1"/>
  <c r="E111" i="22"/>
  <c r="F111" i="22" s="1"/>
  <c r="D112" i="22"/>
  <c r="C111" i="22"/>
  <c r="A111" i="22"/>
  <c r="D50" i="12"/>
  <c r="D68" i="11"/>
  <c r="C68" i="11"/>
  <c r="N68" i="11" s="1"/>
  <c r="C43" i="20"/>
  <c r="H48" i="10"/>
  <c r="G43" i="20" s="1"/>
  <c r="AB50" i="1" s="1"/>
  <c r="I48" i="10"/>
  <c r="D43" i="20" s="1"/>
  <c r="M48" i="10"/>
  <c r="Y50" i="1"/>
  <c r="N48" i="10"/>
  <c r="D69" i="11" l="1"/>
  <c r="D19" i="11" s="1"/>
  <c r="C69" i="11"/>
  <c r="N69" i="11" s="1"/>
  <c r="N70" i="11" s="1"/>
  <c r="N71" i="11" s="1"/>
  <c r="N72" i="11" s="1"/>
  <c r="N73" i="11" s="1"/>
  <c r="N74" i="11" s="1"/>
  <c r="N75" i="11" s="1"/>
  <c r="N76" i="11" s="1"/>
  <c r="N77" i="11" s="1"/>
  <c r="N78" i="11" s="1"/>
  <c r="N79" i="11" s="1"/>
  <c r="N80" i="11" s="1"/>
  <c r="N81" i="11" s="1"/>
  <c r="N82" i="11" s="1"/>
  <c r="N83" i="11" s="1"/>
  <c r="N84" i="11" s="1"/>
  <c r="N85" i="11" s="1"/>
  <c r="N86" i="11" s="1"/>
  <c r="N87" i="11" s="1"/>
  <c r="N88" i="11" s="1"/>
  <c r="N89" i="11" s="1"/>
  <c r="N90" i="11" s="1"/>
  <c r="N91" i="11" s="1"/>
  <c r="N92" i="11" s="1"/>
  <c r="N93" i="11" s="1"/>
  <c r="N94" i="11" s="1"/>
  <c r="N95" i="11" s="1"/>
  <c r="N96" i="11" s="1"/>
  <c r="N97" i="11" s="1"/>
  <c r="N98" i="11" s="1"/>
  <c r="N99" i="11" s="1"/>
  <c r="N100" i="11" s="1"/>
  <c r="N101" i="11" s="1"/>
  <c r="N102" i="11" s="1"/>
  <c r="N103" i="11" s="1"/>
  <c r="N104" i="11" s="1"/>
  <c r="N105" i="11" s="1"/>
  <c r="AE51" i="1"/>
  <c r="C50" i="12"/>
  <c r="M68" i="11"/>
  <c r="H68" i="11"/>
  <c r="I68" i="11"/>
  <c r="D49" i="10"/>
  <c r="I112" i="22"/>
  <c r="E112" i="22"/>
  <c r="F112" i="22" s="1"/>
  <c r="A112" i="22"/>
  <c r="D113" i="22"/>
  <c r="G112" i="22"/>
  <c r="H112" i="22" s="1"/>
  <c r="C112" i="22"/>
  <c r="B113" i="22"/>
  <c r="E44" i="20" l="1"/>
  <c r="Z51" i="1"/>
  <c r="C49" i="10"/>
  <c r="H50" i="12"/>
  <c r="M50" i="12"/>
  <c r="I50" i="12"/>
  <c r="AD51" i="1"/>
  <c r="AF51" i="1" s="1"/>
  <c r="N50" i="12"/>
  <c r="H69" i="11"/>
  <c r="H19" i="11" s="1"/>
  <c r="M69" i="11"/>
  <c r="I69" i="11"/>
  <c r="C19" i="11"/>
  <c r="I113" i="22"/>
  <c r="G113" i="22"/>
  <c r="H113" i="22" s="1"/>
  <c r="E113" i="22"/>
  <c r="F113" i="22" s="1"/>
  <c r="C113" i="22"/>
  <c r="D114" i="22"/>
  <c r="B114" i="22"/>
  <c r="A113" i="22"/>
  <c r="F17" i="11" l="1"/>
  <c r="M19" i="11"/>
  <c r="D51" i="12"/>
  <c r="C44" i="20"/>
  <c r="H49" i="10"/>
  <c r="G44" i="20" s="1"/>
  <c r="AB51" i="1" s="1"/>
  <c r="I49" i="10"/>
  <c r="D44" i="20" s="1"/>
  <c r="M49" i="10"/>
  <c r="Y51" i="1"/>
  <c r="N49" i="10"/>
  <c r="G114" i="22"/>
  <c r="H114" i="22" s="1"/>
  <c r="C114" i="22"/>
  <c r="B115" i="22"/>
  <c r="A114" i="22"/>
  <c r="I114" i="22"/>
  <c r="E114" i="22"/>
  <c r="F114" i="22" s="1"/>
  <c r="D115" i="22"/>
  <c r="D50" i="10" l="1"/>
  <c r="G115" i="22"/>
  <c r="H115" i="22" s="1"/>
  <c r="E115" i="22"/>
  <c r="F115" i="22" s="1"/>
  <c r="C115" i="22"/>
  <c r="A115" i="22"/>
  <c r="D116" i="22"/>
  <c r="I115" i="22"/>
  <c r="B116" i="22"/>
  <c r="AE52" i="1"/>
  <c r="C51" i="12"/>
  <c r="E116" i="22" l="1"/>
  <c r="F116" i="22" s="1"/>
  <c r="A116" i="22"/>
  <c r="D117" i="22"/>
  <c r="I116" i="22"/>
  <c r="C116" i="22"/>
  <c r="B117" i="22"/>
  <c r="G116" i="22"/>
  <c r="H116" i="22" s="1"/>
  <c r="I51" i="12"/>
  <c r="H51" i="12"/>
  <c r="M51" i="12"/>
  <c r="AD52" i="1"/>
  <c r="AF52" i="1" s="1"/>
  <c r="N51" i="12"/>
  <c r="E45" i="20"/>
  <c r="Z52" i="1"/>
  <c r="C50" i="10"/>
  <c r="C45" i="20" l="1"/>
  <c r="M50" i="10"/>
  <c r="H50" i="10"/>
  <c r="G45" i="20" s="1"/>
  <c r="AB52" i="1" s="1"/>
  <c r="I50" i="10"/>
  <c r="D45" i="20" s="1"/>
  <c r="Y52" i="1"/>
  <c r="N50" i="10"/>
  <c r="D52" i="12"/>
  <c r="E117" i="22"/>
  <c r="F117" i="22" s="1"/>
  <c r="C117" i="22"/>
  <c r="A117" i="22"/>
  <c r="G117" i="22"/>
  <c r="H117" i="22" s="1"/>
  <c r="I117" i="22"/>
  <c r="D118" i="22"/>
  <c r="B118" i="22"/>
  <c r="D51" i="10" l="1"/>
  <c r="C118" i="22"/>
  <c r="B119" i="22"/>
  <c r="G118" i="22"/>
  <c r="H118" i="22" s="1"/>
  <c r="D119" i="22"/>
  <c r="E118" i="22"/>
  <c r="F118" i="22" s="1"/>
  <c r="I118" i="22"/>
  <c r="A118" i="22"/>
  <c r="AE53" i="1"/>
  <c r="C52" i="12"/>
  <c r="C119" i="22" l="1"/>
  <c r="A119" i="22"/>
  <c r="D120" i="22"/>
  <c r="I119" i="22"/>
  <c r="E119" i="22"/>
  <c r="F119" i="22" s="1"/>
  <c r="B120" i="22"/>
  <c r="G119" i="22"/>
  <c r="H119" i="22" s="1"/>
  <c r="M52" i="12"/>
  <c r="H52" i="12"/>
  <c r="I52" i="12"/>
  <c r="AD53" i="1"/>
  <c r="AF53" i="1" s="1"/>
  <c r="N52" i="12"/>
  <c r="E46" i="20"/>
  <c r="Z53" i="1"/>
  <c r="C51" i="10"/>
  <c r="D53" i="12" l="1"/>
  <c r="C46" i="20"/>
  <c r="I51" i="10"/>
  <c r="D46" i="20" s="1"/>
  <c r="M51" i="10"/>
  <c r="H51" i="10"/>
  <c r="G46" i="20" s="1"/>
  <c r="AB53" i="1" s="1"/>
  <c r="Y53" i="1"/>
  <c r="N51" i="10"/>
  <c r="A120" i="22"/>
  <c r="D121" i="22"/>
  <c r="I120" i="22"/>
  <c r="E120" i="22"/>
  <c r="F120" i="22" s="1"/>
  <c r="B121" i="22"/>
  <c r="G120" i="22"/>
  <c r="H120" i="22" s="1"/>
  <c r="C120" i="22"/>
  <c r="A121" i="22" l="1"/>
  <c r="D122" i="22"/>
  <c r="B122" i="22"/>
  <c r="G121" i="22"/>
  <c r="H121" i="22" s="1"/>
  <c r="C121" i="22"/>
  <c r="I121" i="22"/>
  <c r="E121" i="22"/>
  <c r="F121" i="22" s="1"/>
  <c r="D52" i="10"/>
  <c r="AE54" i="1"/>
  <c r="C53" i="12"/>
  <c r="H53" i="12" l="1"/>
  <c r="M53" i="12"/>
  <c r="I53" i="12"/>
  <c r="AD54" i="1"/>
  <c r="AF54" i="1" s="1"/>
  <c r="N53" i="12"/>
  <c r="E47" i="20"/>
  <c r="Z54" i="1"/>
  <c r="C52" i="10"/>
  <c r="B123" i="22"/>
  <c r="G122" i="22"/>
  <c r="H122" i="22" s="1"/>
  <c r="C122" i="22"/>
  <c r="I122" i="22"/>
  <c r="D123" i="22"/>
  <c r="E122" i="22"/>
  <c r="F122" i="22" s="1"/>
  <c r="A122" i="22"/>
  <c r="C47" i="20" l="1"/>
  <c r="I52" i="10"/>
  <c r="D47" i="20" s="1"/>
  <c r="M52" i="10"/>
  <c r="H52" i="10"/>
  <c r="G47" i="20" s="1"/>
  <c r="AB54" i="1" s="1"/>
  <c r="Y54" i="1"/>
  <c r="N52" i="10"/>
  <c r="D54" i="12"/>
  <c r="A123" i="22"/>
  <c r="D124" i="22"/>
  <c r="B124" i="22"/>
  <c r="I123" i="22"/>
  <c r="G123" i="22"/>
  <c r="H123" i="22" s="1"/>
  <c r="E123" i="22"/>
  <c r="F123" i="22" s="1"/>
  <c r="C123" i="22"/>
  <c r="D125" i="22" l="1"/>
  <c r="I124" i="22"/>
  <c r="E124" i="22"/>
  <c r="F124" i="22" s="1"/>
  <c r="A124" i="22"/>
  <c r="G124" i="22"/>
  <c r="H124" i="22" s="1"/>
  <c r="C124" i="22"/>
  <c r="B125" i="22"/>
  <c r="D53" i="10"/>
  <c r="AE55" i="1"/>
  <c r="C54" i="12"/>
  <c r="I54" i="12" l="1"/>
  <c r="M54" i="12"/>
  <c r="H54" i="12"/>
  <c r="AD55" i="1"/>
  <c r="AF55" i="1" s="1"/>
  <c r="N54" i="12"/>
  <c r="E48" i="20"/>
  <c r="Z55" i="1"/>
  <c r="C53" i="10"/>
  <c r="D126" i="22"/>
  <c r="B126" i="22"/>
  <c r="I125" i="22"/>
  <c r="G125" i="22"/>
  <c r="H125" i="22" s="1"/>
  <c r="A125" i="22"/>
  <c r="C125" i="22"/>
  <c r="E125" i="22"/>
  <c r="F125" i="22" s="1"/>
  <c r="C48" i="20" l="1"/>
  <c r="H53" i="10"/>
  <c r="G48" i="20" s="1"/>
  <c r="AB55" i="1" s="1"/>
  <c r="I53" i="10"/>
  <c r="D48" i="20" s="1"/>
  <c r="M53" i="10"/>
  <c r="Y55" i="1"/>
  <c r="N53" i="10"/>
  <c r="B127" i="22"/>
  <c r="G126" i="22"/>
  <c r="H126" i="22" s="1"/>
  <c r="C126" i="22"/>
  <c r="D127" i="22"/>
  <c r="I126" i="22"/>
  <c r="E126" i="22"/>
  <c r="F126" i="22" s="1"/>
  <c r="A126" i="22"/>
  <c r="D55" i="12"/>
  <c r="AE56" i="1" l="1"/>
  <c r="C55" i="12"/>
  <c r="D54" i="10"/>
  <c r="D128" i="22"/>
  <c r="B128" i="22"/>
  <c r="I127" i="22"/>
  <c r="G127" i="22"/>
  <c r="H127" i="22" s="1"/>
  <c r="E127" i="22"/>
  <c r="F127" i="22" s="1"/>
  <c r="A127" i="22"/>
  <c r="C127" i="22"/>
  <c r="I128" i="22" l="1"/>
  <c r="E128" i="22"/>
  <c r="F128" i="22" s="1"/>
  <c r="A128" i="22"/>
  <c r="D129" i="22"/>
  <c r="G128" i="22"/>
  <c r="H128" i="22" s="1"/>
  <c r="B129" i="22"/>
  <c r="C128" i="22"/>
  <c r="E49" i="20"/>
  <c r="Z56" i="1"/>
  <c r="C54" i="10"/>
  <c r="M55" i="12"/>
  <c r="I55" i="12"/>
  <c r="H55" i="12"/>
  <c r="AD56" i="1"/>
  <c r="AF56" i="1" s="1"/>
  <c r="N55" i="12"/>
  <c r="D56" i="12" l="1"/>
  <c r="C49" i="20"/>
  <c r="I54" i="10"/>
  <c r="D49" i="20" s="1"/>
  <c r="H54" i="10"/>
  <c r="G49" i="20" s="1"/>
  <c r="AB56" i="1" s="1"/>
  <c r="M54" i="10"/>
  <c r="Y56" i="1"/>
  <c r="N54" i="10"/>
  <c r="B130" i="22"/>
  <c r="I129" i="22"/>
  <c r="G129" i="22"/>
  <c r="H129" i="22" s="1"/>
  <c r="E129" i="22"/>
  <c r="F129" i="22" s="1"/>
  <c r="C129" i="22"/>
  <c r="A129" i="22"/>
  <c r="D130" i="22"/>
  <c r="D55" i="10" l="1"/>
  <c r="G130" i="22"/>
  <c r="H130" i="22" s="1"/>
  <c r="C130" i="22"/>
  <c r="B131" i="22"/>
  <c r="I130" i="22"/>
  <c r="E130" i="22"/>
  <c r="F130" i="22" s="1"/>
  <c r="A130" i="22"/>
  <c r="D131" i="22"/>
  <c r="AE57" i="1"/>
  <c r="C56" i="12"/>
  <c r="M56" i="12" l="1"/>
  <c r="I56" i="12"/>
  <c r="H56" i="12"/>
  <c r="AD57" i="1"/>
  <c r="AF57" i="1" s="1"/>
  <c r="N56" i="12"/>
  <c r="I131" i="22"/>
  <c r="G131" i="22"/>
  <c r="H131" i="22" s="1"/>
  <c r="E131" i="22"/>
  <c r="F131" i="22" s="1"/>
  <c r="C131" i="22"/>
  <c r="A131" i="22"/>
  <c r="B132" i="22"/>
  <c r="D132" i="22"/>
  <c r="E50" i="20"/>
  <c r="Z57" i="1"/>
  <c r="C55" i="10"/>
  <c r="E132" i="22" l="1"/>
  <c r="F132" i="22" s="1"/>
  <c r="A132" i="22"/>
  <c r="D133" i="22"/>
  <c r="I132" i="22"/>
  <c r="G132" i="22"/>
  <c r="H132" i="22" s="1"/>
  <c r="C132" i="22"/>
  <c r="B133" i="22"/>
  <c r="D57" i="12"/>
  <c r="C50" i="20"/>
  <c r="M55" i="10"/>
  <c r="I55" i="10"/>
  <c r="D50" i="20" s="1"/>
  <c r="H55" i="10"/>
  <c r="G50" i="20" s="1"/>
  <c r="AB57" i="1" s="1"/>
  <c r="Y57" i="1"/>
  <c r="N55" i="10"/>
  <c r="D56" i="10" l="1"/>
  <c r="AE58" i="1"/>
  <c r="C57" i="12"/>
  <c r="G133" i="22"/>
  <c r="H133" i="22" s="1"/>
  <c r="E133" i="22"/>
  <c r="F133" i="22" s="1"/>
  <c r="C133" i="22"/>
  <c r="A133" i="22"/>
  <c r="D134" i="22"/>
  <c r="B134" i="22"/>
  <c r="I133" i="22"/>
  <c r="C134" i="22" l="1"/>
  <c r="B135" i="22"/>
  <c r="G134" i="22"/>
  <c r="H134" i="22" s="1"/>
  <c r="D135" i="22"/>
  <c r="I134" i="22"/>
  <c r="E134" i="22"/>
  <c r="F134" i="22" s="1"/>
  <c r="A134" i="22"/>
  <c r="M57" i="12"/>
  <c r="I57" i="12"/>
  <c r="H57" i="12"/>
  <c r="AD58" i="1"/>
  <c r="AF58" i="1" s="1"/>
  <c r="N57" i="12"/>
  <c r="E51" i="20"/>
  <c r="Z58" i="1"/>
  <c r="C56" i="10"/>
  <c r="D18" i="10"/>
  <c r="C51" i="20" l="1"/>
  <c r="C52" i="20" s="1"/>
  <c r="I56" i="10"/>
  <c r="D51" i="20" s="1"/>
  <c r="D52" i="20" s="1"/>
  <c r="M56" i="10"/>
  <c r="H56" i="10"/>
  <c r="Y58" i="1"/>
  <c r="C18" i="10"/>
  <c r="N56" i="10"/>
  <c r="N57" i="10" s="1"/>
  <c r="N58" i="10" s="1"/>
  <c r="N59" i="10" s="1"/>
  <c r="N60" i="10" s="1"/>
  <c r="N61" i="10" s="1"/>
  <c r="N62" i="10" s="1"/>
  <c r="N63" i="10" s="1"/>
  <c r="N64" i="10" s="1"/>
  <c r="N65" i="10" s="1"/>
  <c r="N66" i="10" s="1"/>
  <c r="N67" i="10" s="1"/>
  <c r="N68" i="10" s="1"/>
  <c r="N69" i="10" s="1"/>
  <c r="N70" i="10" s="1"/>
  <c r="N71" i="10" s="1"/>
  <c r="N72" i="10" s="1"/>
  <c r="N73" i="10" s="1"/>
  <c r="N74" i="10" s="1"/>
  <c r="N75" i="10" s="1"/>
  <c r="N76" i="10" s="1"/>
  <c r="N77" i="10" s="1"/>
  <c r="N78" i="10" s="1"/>
  <c r="N79" i="10" s="1"/>
  <c r="N80" i="10" s="1"/>
  <c r="N81" i="10" s="1"/>
  <c r="N82" i="10" s="1"/>
  <c r="N83" i="10" s="1"/>
  <c r="N84" i="10" s="1"/>
  <c r="N85" i="10" s="1"/>
  <c r="N86" i="10" s="1"/>
  <c r="N87" i="10" s="1"/>
  <c r="N88" i="10" s="1"/>
  <c r="N89" i="10" s="1"/>
  <c r="N90" i="10" s="1"/>
  <c r="N91" i="10" s="1"/>
  <c r="N92" i="10" s="1"/>
  <c r="N93" i="10" s="1"/>
  <c r="N94" i="10" s="1"/>
  <c r="N95" i="10" s="1"/>
  <c r="N96" i="10" s="1"/>
  <c r="N97" i="10" s="1"/>
  <c r="N98" i="10" s="1"/>
  <c r="N99" i="10" s="1"/>
  <c r="N100" i="10" s="1"/>
  <c r="N101" i="10" s="1"/>
  <c r="N102" i="10" s="1"/>
  <c r="N103" i="10" s="1"/>
  <c r="N104" i="10" s="1"/>
  <c r="D58" i="12"/>
  <c r="E135" i="22"/>
  <c r="F135" i="22" s="1"/>
  <c r="C135" i="22"/>
  <c r="A135" i="22"/>
  <c r="D136" i="22"/>
  <c r="I135" i="22"/>
  <c r="B136" i="22"/>
  <c r="G135" i="22"/>
  <c r="H135" i="22" s="1"/>
  <c r="G51" i="20" l="1"/>
  <c r="AB58" i="1" s="1"/>
  <c r="H18" i="10"/>
  <c r="A136" i="22"/>
  <c r="D137" i="22"/>
  <c r="I136" i="22"/>
  <c r="E136" i="22"/>
  <c r="F136" i="22" s="1"/>
  <c r="B137" i="22"/>
  <c r="G136" i="22"/>
  <c r="H136" i="22" s="1"/>
  <c r="C136" i="22"/>
  <c r="AE59" i="1"/>
  <c r="C58" i="12"/>
  <c r="M18" i="10"/>
  <c r="F16" i="10"/>
  <c r="H58" i="12" l="1"/>
  <c r="I58" i="12"/>
  <c r="M58" i="12"/>
  <c r="AD59" i="1"/>
  <c r="AF59" i="1" s="1"/>
  <c r="N58" i="12"/>
  <c r="C137" i="22"/>
  <c r="A137" i="22"/>
  <c r="D138" i="22"/>
  <c r="B138" i="22"/>
  <c r="I137" i="22"/>
  <c r="G137" i="22"/>
  <c r="H137" i="22" s="1"/>
  <c r="E137" i="22"/>
  <c r="F137" i="22" s="1"/>
  <c r="B139" i="22" l="1"/>
  <c r="G138" i="22"/>
  <c r="H138" i="22" s="1"/>
  <c r="C138" i="22"/>
  <c r="D139" i="22"/>
  <c r="A138" i="22"/>
  <c r="I138" i="22"/>
  <c r="E138" i="22"/>
  <c r="F138" i="22" s="1"/>
  <c r="D59" i="12"/>
  <c r="AE60" i="1" l="1"/>
  <c r="C59" i="12"/>
  <c r="A139" i="22"/>
  <c r="D140" i="22"/>
  <c r="B140" i="22"/>
  <c r="I139" i="22"/>
  <c r="G139" i="22"/>
  <c r="H139" i="22" s="1"/>
  <c r="C139" i="22"/>
  <c r="E139" i="22"/>
  <c r="F139" i="22" s="1"/>
  <c r="D141" i="22" l="1"/>
  <c r="I140" i="22"/>
  <c r="E140" i="22"/>
  <c r="F140" i="22" s="1"/>
  <c r="A140" i="22"/>
  <c r="B141" i="22"/>
  <c r="G140" i="22"/>
  <c r="H140" i="22" s="1"/>
  <c r="C140" i="22"/>
  <c r="M59" i="12"/>
  <c r="I59" i="12"/>
  <c r="H59" i="12"/>
  <c r="AD60" i="1"/>
  <c r="AF60" i="1" s="1"/>
  <c r="N59" i="12"/>
  <c r="D60" i="12" l="1"/>
  <c r="D142" i="22"/>
  <c r="B142" i="22"/>
  <c r="I141" i="22"/>
  <c r="G141" i="22"/>
  <c r="H141" i="22" s="1"/>
  <c r="A141" i="22"/>
  <c r="E141" i="22"/>
  <c r="F141" i="22" s="1"/>
  <c r="C141" i="22"/>
  <c r="B143" i="22" l="1"/>
  <c r="G142" i="22"/>
  <c r="H142" i="22" s="1"/>
  <c r="C142" i="22"/>
  <c r="D143" i="22"/>
  <c r="I142" i="22"/>
  <c r="E142" i="22"/>
  <c r="F142" i="22" s="1"/>
  <c r="A142" i="22"/>
  <c r="AE61" i="1"/>
  <c r="C60" i="12"/>
  <c r="H60" i="12" l="1"/>
  <c r="M60" i="12"/>
  <c r="I60" i="12"/>
  <c r="AD61" i="1"/>
  <c r="AF61" i="1" s="1"/>
  <c r="N60" i="12"/>
  <c r="I143" i="22"/>
  <c r="G143" i="22"/>
  <c r="H143" i="22" s="1"/>
  <c r="E143" i="22"/>
  <c r="F143" i="22" s="1"/>
  <c r="C143" i="22"/>
  <c r="A143" i="22"/>
  <c r="D61" i="12" l="1"/>
  <c r="AE62" i="1" l="1"/>
  <c r="C61" i="12"/>
  <c r="H61" i="12" l="1"/>
  <c r="M61" i="12"/>
  <c r="I61" i="12"/>
  <c r="AD62" i="1"/>
  <c r="AF62" i="1" s="1"/>
  <c r="N61" i="12"/>
  <c r="D62" i="12" l="1"/>
  <c r="AE63" i="1" l="1"/>
  <c r="C62" i="12"/>
  <c r="H62" i="12" l="1"/>
  <c r="I62" i="12"/>
  <c r="M62" i="12"/>
  <c r="AD63" i="1"/>
  <c r="AF63" i="1" s="1"/>
  <c r="N62" i="12"/>
  <c r="D63" i="12" l="1"/>
  <c r="AE64" i="1" l="1"/>
  <c r="C63" i="12"/>
  <c r="M63" i="12" l="1"/>
  <c r="H63" i="12"/>
  <c r="I63" i="12"/>
  <c r="AD64" i="1"/>
  <c r="AF64" i="1" s="1"/>
  <c r="N63" i="12"/>
  <c r="D64" i="12" l="1"/>
  <c r="AE65" i="1" l="1"/>
  <c r="C64" i="12"/>
  <c r="M64" i="12" l="1"/>
  <c r="I64" i="12"/>
  <c r="H64" i="12"/>
  <c r="AD65" i="1"/>
  <c r="AF65" i="1" s="1"/>
  <c r="N64" i="12"/>
  <c r="D65" i="12" l="1"/>
  <c r="AE66" i="1" l="1"/>
  <c r="C65" i="12"/>
  <c r="I65" i="12" l="1"/>
  <c r="M65" i="12"/>
  <c r="H65" i="12"/>
  <c r="AD66" i="1"/>
  <c r="AF66" i="1" s="1"/>
  <c r="N65" i="12"/>
  <c r="D66" i="12" l="1"/>
  <c r="AE67" i="1" l="1"/>
  <c r="C66" i="12"/>
  <c r="M66" i="12" l="1"/>
  <c r="H66" i="12"/>
  <c r="I66" i="12"/>
  <c r="AD67" i="1"/>
  <c r="AF67" i="1" s="1"/>
  <c r="N66" i="12"/>
  <c r="D67" i="12" l="1"/>
  <c r="AE68" i="1" l="1"/>
  <c r="C67" i="12"/>
  <c r="I67" i="12" l="1"/>
  <c r="H67" i="12"/>
  <c r="M67" i="12"/>
  <c r="AD68" i="1"/>
  <c r="AF68" i="1" s="1"/>
  <c r="N67" i="12"/>
  <c r="D68" i="12" l="1"/>
  <c r="AE69" i="1" l="1"/>
  <c r="C68" i="12"/>
  <c r="M68" i="12" l="1"/>
  <c r="I68" i="12"/>
  <c r="H68" i="12"/>
  <c r="AD69" i="1"/>
  <c r="AF69" i="1" s="1"/>
  <c r="N68" i="12"/>
  <c r="D69" i="12" l="1"/>
  <c r="AE70" i="1" l="1"/>
  <c r="C69" i="12"/>
  <c r="D19" i="12"/>
  <c r="H69" i="12" l="1"/>
  <c r="H19" i="12" s="1"/>
  <c r="I69" i="12"/>
  <c r="M69" i="12"/>
  <c r="AD70" i="1"/>
  <c r="AF70" i="1" s="1"/>
  <c r="C19" i="12"/>
  <c r="N69" i="12"/>
  <c r="N70" i="12" s="1"/>
  <c r="N71" i="12" s="1"/>
  <c r="N72" i="12" s="1"/>
  <c r="N73" i="12" s="1"/>
  <c r="N74" i="12" s="1"/>
  <c r="N75" i="12" s="1"/>
  <c r="N76" i="12" s="1"/>
  <c r="N77" i="12" s="1"/>
  <c r="N78" i="12" s="1"/>
  <c r="N79" i="12" s="1"/>
  <c r="N80" i="12" s="1"/>
  <c r="N81" i="12" s="1"/>
  <c r="N82" i="12" s="1"/>
  <c r="N83" i="12" s="1"/>
  <c r="N84" i="12" s="1"/>
  <c r="N85" i="12" s="1"/>
  <c r="N86" i="12" s="1"/>
  <c r="N87" i="12" s="1"/>
  <c r="N88" i="12" s="1"/>
  <c r="N89" i="12" s="1"/>
  <c r="N90" i="12" s="1"/>
  <c r="N91" i="12" s="1"/>
  <c r="N92" i="12" s="1"/>
  <c r="N93" i="12" s="1"/>
  <c r="N94" i="12" s="1"/>
  <c r="N95" i="12" s="1"/>
  <c r="N96" i="12" s="1"/>
  <c r="N97" i="12" s="1"/>
  <c r="N98" i="12" s="1"/>
  <c r="N99" i="12" s="1"/>
  <c r="N100" i="12" s="1"/>
  <c r="N101" i="12" s="1"/>
  <c r="N102" i="12" s="1"/>
  <c r="N103" i="12" s="1"/>
  <c r="N104" i="12" s="1"/>
  <c r="N105" i="12" s="1"/>
  <c r="F17" i="12" l="1"/>
  <c r="M19" i="12"/>
</calcChain>
</file>

<file path=xl/sharedStrings.xml><?xml version="1.0" encoding="utf-8"?>
<sst xmlns="http://schemas.openxmlformats.org/spreadsheetml/2006/main" count="966" uniqueCount="209">
  <si>
    <t>Дата</t>
  </si>
  <si>
    <t>Итого</t>
  </si>
  <si>
    <t>нет</t>
  </si>
  <si>
    <t>BYN</t>
  </si>
  <si>
    <t>Общая информация</t>
  </si>
  <si>
    <t>Номер договора</t>
  </si>
  <si>
    <t>Город</t>
  </si>
  <si>
    <t>Сведения о Лизингополучателе</t>
  </si>
  <si>
    <t>ФИО Лизингополучателя</t>
  </si>
  <si>
    <t>Условия лизинга</t>
  </si>
  <si>
    <t>Валюта обязательства</t>
  </si>
  <si>
    <t>Белорусский рубль</t>
  </si>
  <si>
    <t>Срок (мес)</t>
  </si>
  <si>
    <t>Процентная ставка в месяц</t>
  </si>
  <si>
    <t>Комиссия за выдачу</t>
  </si>
  <si>
    <t>Ставка НДС контрактная стоимость</t>
  </si>
  <si>
    <t>Ставка НДС вознаграждение лизингодателя</t>
  </si>
  <si>
    <t>Авансовый платеж (%)</t>
  </si>
  <si>
    <t>Дата финансирования</t>
  </si>
  <si>
    <t>Дата первого платежа</t>
  </si>
  <si>
    <t>Срок отсрочки платежей в части возмещения контрактной стоимости (мес)</t>
  </si>
  <si>
    <t>Размер выкупной стоимости (%)</t>
  </si>
  <si>
    <t>Учетный срок</t>
  </si>
  <si>
    <t>Вознаграждение лизингодателя за весь период (ден.ед)</t>
  </si>
  <si>
    <t>Вознаграждение лизингодателя за первый год (ден.ед)</t>
  </si>
  <si>
    <t>АВАНСОВЫЙ ПЛАТЕЖ</t>
  </si>
  <si>
    <t>ВЫКУПНАЯ СТОИМОСТЬ</t>
  </si>
  <si>
    <t>ЦЕНА ДОГОВОРА ЛИЗИНГА</t>
  </si>
  <si>
    <t>ПРОЦЕНТ УДОРОЖАНИЯ ПРЕДМЕТА ЛИЗИНГА ЗА ВЕСЬ ПЕРИОД</t>
  </si>
  <si>
    <t>СРЕДНИЙ МЕСЯЧНЫЙ ПРОЦЕНТ УДОРОЖАНИЯ</t>
  </si>
  <si>
    <t>ПРОЦЕНТ УДОРОЖАНИЯ ЗА ПЕРВЫЙ ГОД</t>
  </si>
  <si>
    <t>СРЕДНИЙ ГОДОВОЙ ПРОЦЕНТ УДОРОЖАНИЯ</t>
  </si>
  <si>
    <t xml:space="preserve">ГРАФИК ЛИЗИНГОВЫХ ПЛАТЕЖЕЙ </t>
  </si>
  <si>
    <t>Приложение</t>
  </si>
  <si>
    <t>Валюта обязательства:</t>
  </si>
  <si>
    <t>Срок лизинга</t>
  </si>
  <si>
    <t>мес</t>
  </si>
  <si>
    <t>Контрактная стоимость предмета лизинга с НДС</t>
  </si>
  <si>
    <t xml:space="preserve">Авансовый платеж </t>
  </si>
  <si>
    <t>Выкупная стоимость</t>
  </si>
  <si>
    <t>Сумма Лизинга</t>
  </si>
  <si>
    <t>Процентная ставка</t>
  </si>
  <si>
    <t>в месяц</t>
  </si>
  <si>
    <t>дней в году</t>
  </si>
  <si>
    <t>Дата выдачи кредита</t>
  </si>
  <si>
    <t>Количество месяцев отсрочки по телу кредита</t>
  </si>
  <si>
    <t>Дата платежа
(не позднее)</t>
  </si>
  <si>
    <t>Номер платежа</t>
  </si>
  <si>
    <t xml:space="preserve">Процентный период </t>
  </si>
  <si>
    <t>Вознаграждение лизингодателя</t>
  </si>
  <si>
    <t>НДС от вознаграждения лизингодателя</t>
  </si>
  <si>
    <t>Авансовый платеж</t>
  </si>
  <si>
    <t>Дата внесения выкупного платежа не позднее:</t>
  </si>
  <si>
    <t>Стороны свидетельствуют, что ознакомились и безоговорочно согласились со всеми условиями Договора, изложенными на данной странице.</t>
  </si>
  <si>
    <t>Лизингодатель:</t>
  </si>
  <si>
    <t>Лизингополучатель:</t>
  </si>
  <si>
    <t>Специалист по работе с клиентами:</t>
  </si>
  <si>
    <t>В т.ч. НДС</t>
  </si>
  <si>
    <t>Контрактная стоимость предмета лизинга С НДС</t>
  </si>
  <si>
    <t>Остаток контрактной стоимости (с НДС)</t>
  </si>
  <si>
    <t>Возмещение контрактной стоимости с НДС</t>
  </si>
  <si>
    <t>В т.ч НДС от суммы возмещения контрактной стоимости</t>
  </si>
  <si>
    <t>Общая сумма лизингового платежа за период С НДС</t>
  </si>
  <si>
    <t>ООО "Лайт Лизинг"</t>
  </si>
  <si>
    <t>Лизингополучатель</t>
  </si>
  <si>
    <t>Название продукта:</t>
  </si>
  <si>
    <t>Код продукта:</t>
  </si>
  <si>
    <t>01</t>
  </si>
  <si>
    <t>Стоимость авто, с НДС</t>
  </si>
  <si>
    <t>Дата начала уплаты НДС:</t>
  </si>
  <si>
    <t>Аванс, %</t>
  </si>
  <si>
    <t>равномерно</t>
  </si>
  <si>
    <t>Страховой тариф</t>
  </si>
  <si>
    <t>А-Лизинг</t>
  </si>
  <si>
    <t>Клиент</t>
  </si>
  <si>
    <t>Ожидаемый срок лизинга, месяцев</t>
  </si>
  <si>
    <t>дегрессия</t>
  </si>
  <si>
    <t>1 год</t>
  </si>
  <si>
    <t>Компенсация от дилера, в % от стоимости авто</t>
  </si>
  <si>
    <t>%</t>
  </si>
  <si>
    <t>мес.включения</t>
  </si>
  <si>
    <t>2 год</t>
  </si>
  <si>
    <t>Схема погашения КС</t>
  </si>
  <si>
    <t>фиксированное</t>
  </si>
  <si>
    <t>Возмещение дилеру</t>
  </si>
  <si>
    <t>3 год</t>
  </si>
  <si>
    <t>Коэффициент дегрессии</t>
  </si>
  <si>
    <t>% ставка</t>
  </si>
  <si>
    <t>Возещение менеджеру</t>
  </si>
  <si>
    <t>4 год</t>
  </si>
  <si>
    <t>Схема лизингового вознаграждения</t>
  </si>
  <si>
    <t>5 год</t>
  </si>
  <si>
    <t>Фиксированное вознграждение, в % от стоимости авто</t>
  </si>
  <si>
    <t>да</t>
  </si>
  <si>
    <t>% выкупной стоимости:</t>
  </si>
  <si>
    <t>6 год</t>
  </si>
  <si>
    <t>Ставка лизингового вознаграждения, %</t>
  </si>
  <si>
    <t>7 год</t>
  </si>
  <si>
    <t>оплата +% к курсу НБРБ</t>
  </si>
  <si>
    <t>Эффективная процентная ставка, %</t>
  </si>
  <si>
    <t>НЕТ</t>
  </si>
  <si>
    <t>№</t>
  </si>
  <si>
    <t>Дата платежа (не позднее)</t>
  </si>
  <si>
    <t>Возмещение контрактной стоимости, c НДС</t>
  </si>
  <si>
    <t>Лизинговое вознаграждение</t>
  </si>
  <si>
    <t>НДС на ЛВ</t>
  </si>
  <si>
    <t>Стоимость каско</t>
  </si>
  <si>
    <t>%% на каско</t>
  </si>
  <si>
    <t>Сумма лизингового платежа с НДС</t>
  </si>
  <si>
    <t>В т.ч. НДС от Контрактной стоимости</t>
  </si>
  <si>
    <t>Возмещение менеджеру</t>
  </si>
  <si>
    <t>Компенсация дилера</t>
  </si>
  <si>
    <t>Денежный поток</t>
  </si>
  <si>
    <t>Остаток непогашенной КС</t>
  </si>
  <si>
    <t>05.10.2018</t>
  </si>
  <si>
    <t>ФЛ</t>
  </si>
  <si>
    <t>ЮЛ</t>
  </si>
  <si>
    <t>Платежи по аннуитету</t>
  </si>
  <si>
    <t>аннуитет</t>
  </si>
  <si>
    <t>дифференцированный</t>
  </si>
  <si>
    <t>Цена ПЛ c НДС</t>
  </si>
  <si>
    <t>Аванс</t>
  </si>
  <si>
    <t>24 мес</t>
  </si>
  <si>
    <t>36 мес</t>
  </si>
  <si>
    <t>12 мес</t>
  </si>
  <si>
    <t>18 мес</t>
  </si>
  <si>
    <t>Срок</t>
  </si>
  <si>
    <t>Лизинговое вознаграждение, с НДС</t>
  </si>
  <si>
    <t>Платеж</t>
  </si>
  <si>
    <t>1 мес.</t>
  </si>
  <si>
    <t>2 мес.</t>
  </si>
  <si>
    <t>3 мес.</t>
  </si>
  <si>
    <t>4 мес.</t>
  </si>
  <si>
    <t>5 мес.</t>
  </si>
  <si>
    <t>6 мес.</t>
  </si>
  <si>
    <t>7 мес.</t>
  </si>
  <si>
    <t>8 мес.</t>
  </si>
  <si>
    <t>9 мес.</t>
  </si>
  <si>
    <t>10 мес.</t>
  </si>
  <si>
    <t>11 мес.</t>
  </si>
  <si>
    <t>12 мес. + выкуп</t>
  </si>
  <si>
    <t>12 мес.</t>
  </si>
  <si>
    <t>13 мес.</t>
  </si>
  <si>
    <t>14 мес.</t>
  </si>
  <si>
    <t>15 мес.</t>
  </si>
  <si>
    <t>16 мес.</t>
  </si>
  <si>
    <t>17 мес.</t>
  </si>
  <si>
    <t>18 мес. + выкуп</t>
  </si>
  <si>
    <t>18 мес.</t>
  </si>
  <si>
    <t>19 мес.</t>
  </si>
  <si>
    <t>20 мес.</t>
  </si>
  <si>
    <t>21 мес.</t>
  </si>
  <si>
    <t>22 мес.</t>
  </si>
  <si>
    <t>23 мес.</t>
  </si>
  <si>
    <t>24 мес. + выкуп</t>
  </si>
  <si>
    <t>24 мес.</t>
  </si>
  <si>
    <t>25 мес.</t>
  </si>
  <si>
    <t>26 мес.</t>
  </si>
  <si>
    <t>27 мес.</t>
  </si>
  <si>
    <t>28 мес.</t>
  </si>
  <si>
    <t>29 мес.</t>
  </si>
  <si>
    <t>30 мес.</t>
  </si>
  <si>
    <t>31 мес.</t>
  </si>
  <si>
    <t>32 мес.</t>
  </si>
  <si>
    <t>33 мес.</t>
  </si>
  <si>
    <t>34 мес.</t>
  </si>
  <si>
    <t>35 мес.</t>
  </si>
  <si>
    <t>36 мес. + выкуп</t>
  </si>
  <si>
    <t>36 мес.</t>
  </si>
  <si>
    <t>37 мес.</t>
  </si>
  <si>
    <t>38 мес.</t>
  </si>
  <si>
    <t>39 мес.</t>
  </si>
  <si>
    <t>1. Наш менеджер готов построить Вам индивидуальный график с удобными платежами, отталкиваясь от Ваших возможностей;</t>
  </si>
  <si>
    <t>40 мес.</t>
  </si>
  <si>
    <t>41 мес.</t>
  </si>
  <si>
    <t>42 мес.</t>
  </si>
  <si>
    <t>43 мес.</t>
  </si>
  <si>
    <t>2. Погашение платежей осуществляется через ЕРИП;</t>
  </si>
  <si>
    <t>44 мес.</t>
  </si>
  <si>
    <t>45 мес.</t>
  </si>
  <si>
    <t>46 мес.</t>
  </si>
  <si>
    <t>47 мес.</t>
  </si>
  <si>
    <t>48 мес. + выкуп</t>
  </si>
  <si>
    <t>Сумма Аванса</t>
  </si>
  <si>
    <t>В т.ч НДС</t>
  </si>
  <si>
    <t>№ платежа</t>
  </si>
  <si>
    <t>НДС на лизинговое вознаграждение</t>
  </si>
  <si>
    <t>Сумма выкупного платежа составляет 0 рублей 00 копееек</t>
  </si>
  <si>
    <t>Сумма аванса</t>
  </si>
  <si>
    <t>Процент аванса</t>
  </si>
  <si>
    <t>Стоимость предмета лизинга, с НДС</t>
  </si>
  <si>
    <t>Значение не должно превышать 40%</t>
  </si>
  <si>
    <t>Товар 1</t>
  </si>
  <si>
    <t>Товар 2</t>
  </si>
  <si>
    <t>Товар 3</t>
  </si>
  <si>
    <t>Товар 4</t>
  </si>
  <si>
    <t>Товар 5</t>
  </si>
  <si>
    <t>Наименование товара</t>
  </si>
  <si>
    <t>Стоиомость</t>
  </si>
  <si>
    <t>Позволь себе большее</t>
  </si>
  <si>
    <t>Плательщик</t>
  </si>
  <si>
    <t>Убывающий</t>
  </si>
  <si>
    <t>Аннуитет</t>
  </si>
  <si>
    <r>
      <t xml:space="preserve">Дата платежа
 </t>
    </r>
    <r>
      <rPr>
        <b/>
        <sz val="8"/>
        <color rgb="FF3F3F3F"/>
        <rFont val="Times New Roman"/>
        <charset val="204"/>
      </rPr>
      <t>(не позднее)</t>
    </r>
  </si>
  <si>
    <r>
      <t xml:space="preserve">Возмещение контрактной стоимости, 
</t>
    </r>
    <r>
      <rPr>
        <b/>
        <sz val="8"/>
        <rFont val="Times New Roman"/>
        <charset val="204"/>
      </rPr>
      <t>c НДС</t>
    </r>
  </si>
  <si>
    <t>Дата платежа
 (не позднее)</t>
  </si>
  <si>
    <t>Возмещение контрактной стоимости, 
c НДС</t>
  </si>
  <si>
    <t>%%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</si>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</sst>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&quot; &quot;\ &quot;мес&quot;"/>
    <numFmt numFmtId="165" formatCode="#,##0.00&quot; &quot;&quot;BYN&quot;"/>
    <numFmt numFmtId="166" formatCode="0.000"/>
    <numFmt numFmtId="167" formatCode="dd\.mm\.yyyy"/>
    <numFmt numFmtId="168" formatCode="#,##0.00_ ;[Red]\-#,##0.00\ "/>
    <numFmt numFmtId="169" formatCode="[$-FC19]dd\ mmmm\ yyyy\ \г\.;@"/>
    <numFmt numFmtId="170" formatCode="#,##0.00\ &quot;HUF&quot;;[Red]\-#,##0.00\ &quot;HUF&quot;"/>
    <numFmt numFmtId="171" formatCode="yyyy\-mm\-dd;@"/>
    <numFmt numFmtId="172" formatCode="[$-419]d\-mmm\-yyyy;@"/>
    <numFmt numFmtId="173" formatCode="_-* #,##0.00\ _₽_-;\-* #,##0.00\ _₽_-;_-* &quot;-&quot;??\ _₽_-;_-@_-"/>
  </numFmts>
  <fonts count="58">
    <font>
      <sz val="11"/>
      <name val="Calibri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FFFFFF"/>
      <name val="Calibri"/>
      <charset val="204"/>
    </font>
    <font>
      <b/>
      <i/>
      <sz val="12"/>
      <color rgb="FF000000"/>
      <name val="Calibri"/>
      <charset val="204"/>
    </font>
    <font>
      <b/>
      <i/>
      <u/>
      <sz val="12"/>
      <color rgb="FFFF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b/>
      <sz val="14"/>
      <name val="Calibri"/>
      <charset val="204"/>
    </font>
    <font>
      <b/>
      <sz val="11"/>
      <color rgb="FF000000"/>
      <name val="Calibri"/>
      <charset val="204"/>
    </font>
    <font>
      <sz val="11"/>
      <color rgb="FFFF0000"/>
      <name val="Calibri"/>
      <charset val="204"/>
    </font>
    <font>
      <sz val="10"/>
      <color rgb="FF000000"/>
      <name val="Calibri"/>
      <charset val="204"/>
    </font>
    <font>
      <b/>
      <sz val="8"/>
      <color rgb="FF000000"/>
      <name val="Calibri"/>
      <charset val="204"/>
    </font>
    <font>
      <b/>
      <sz val="10"/>
      <color rgb="FF000000"/>
      <name val="Calibri"/>
      <charset val="204"/>
    </font>
    <font>
      <b/>
      <sz val="14"/>
      <color rgb="FF000000"/>
      <name val="Calibri"/>
      <charset val="204"/>
    </font>
    <font>
      <b/>
      <sz val="11"/>
      <name val="Calibri"/>
      <charset val="204"/>
    </font>
    <font>
      <b/>
      <sz val="9"/>
      <name val="Calibri"/>
      <charset val="204"/>
    </font>
    <font>
      <b/>
      <sz val="10"/>
      <name val="Calibri"/>
      <charset val="204"/>
    </font>
    <font>
      <sz val="9"/>
      <name val="Calibri"/>
      <charset val="204"/>
    </font>
    <font>
      <sz val="9"/>
      <color rgb="FF000000"/>
      <name val="Calibri"/>
      <charset val="204"/>
    </font>
    <font>
      <sz val="10"/>
      <name val="Calibri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2"/>
      <name val="Times New Roman"/>
      <charset val="204"/>
    </font>
    <font>
      <b/>
      <sz val="11"/>
      <name val="Times New Roman"/>
      <charset val="204"/>
    </font>
    <font>
      <b/>
      <sz val="11"/>
      <color rgb="FF3F3F3F"/>
      <name val="Times New Roman"/>
      <charset val="204"/>
    </font>
    <font>
      <b/>
      <sz val="12"/>
      <color rgb="FF3F3F3F"/>
      <name val="Times New Roman"/>
      <charset val="204"/>
    </font>
    <font>
      <sz val="12"/>
      <name val="Times New Roman"/>
      <charset val="204"/>
    </font>
    <font>
      <b/>
      <sz val="12"/>
      <color rgb="FF2F75B6"/>
      <name val="Times New Roman"/>
      <charset val="204"/>
    </font>
    <font>
      <u/>
      <sz val="12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0"/>
      <name val="Times New Roman"/>
      <charset val="204"/>
    </font>
    <font>
      <sz val="11"/>
      <name val="Times New Roman"/>
      <charset val="204"/>
    </font>
    <font>
      <sz val="12"/>
      <color rgb="FF000000"/>
      <name val="Calibri"/>
      <charset val="129"/>
    </font>
    <font>
      <b/>
      <sz val="12"/>
      <color rgb="FF000000"/>
      <name val="Calibri"/>
    </font>
    <font>
      <sz val="12"/>
      <color rgb="FF5C9BD5"/>
      <name val="Calibri"/>
      <charset val="129"/>
    </font>
    <font>
      <sz val="12"/>
      <color rgb="FF000000"/>
      <name val="Calibri"/>
    </font>
    <font>
      <b/>
      <sz val="12"/>
      <color rgb="FF5C9BD5"/>
      <name val="Calibri"/>
    </font>
    <font>
      <sz val="12"/>
      <color rgb="FF5C9BD5"/>
      <name val="Calibri"/>
    </font>
    <font>
      <sz val="12"/>
      <color rgb="FFBFBFBF"/>
      <name val="Calibri"/>
    </font>
    <font>
      <b/>
      <sz val="14"/>
      <color rgb="FF000000"/>
      <name val="Calibri"/>
    </font>
    <font>
      <sz val="12"/>
      <color rgb="FFFFFFFF"/>
      <name val="Calibri"/>
      <charset val="129"/>
    </font>
    <font>
      <b/>
      <sz val="12"/>
      <color rgb="FFFFFFFF"/>
      <name val="Calibri"/>
    </font>
    <font>
      <b/>
      <sz val="12"/>
      <color rgb="FF000000"/>
      <name val="Calibri (Body)"/>
      <charset val="238"/>
    </font>
    <font>
      <b/>
      <sz val="12"/>
      <color rgb="FF000000"/>
      <name val="Calibri"/>
      <charset val="238"/>
    </font>
    <font>
      <b/>
      <sz val="16"/>
      <color rgb="FF000000"/>
      <name val="Calibri"/>
    </font>
    <font>
      <b/>
      <sz val="10"/>
      <color rgb="FF000000"/>
      <name val="Calibri"/>
    </font>
    <font>
      <sz val="12"/>
      <color rgb="FF2F75B6"/>
      <name val="Calibri"/>
      <charset val="129"/>
    </font>
    <font>
      <b/>
      <sz val="12"/>
      <color rgb="FFFFFFFF"/>
      <name val="Calibri"/>
      <charset val="204"/>
    </font>
    <font>
      <b/>
      <sz val="12"/>
      <color rgb="FF2F75B6"/>
      <name val="Calibri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sz val="11"/>
      <color rgb="FF000000"/>
      <name val="Calibri"/>
    </font>
    <font>
      <b/>
      <sz val="11"/>
      <color rgb="FF3F3F3F"/>
      <name val="Calibri"/>
      <charset val="204"/>
    </font>
    <font>
      <b/>
      <sz val="8"/>
      <color rgb="FF3F3F3F"/>
      <name val="Times New Roman"/>
      <charset val="204"/>
    </font>
    <font>
      <b/>
      <sz val="8"/>
      <name val="Times New Roman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2F2F2"/>
      </patternFill>
    </fill>
    <fill>
      <patternFill patternType="solid">
        <fgColor rgb="FFC9C9C9"/>
      </patternFill>
    </fill>
    <fill>
      <patternFill patternType="solid">
        <fgColor rgb="FFFFFF0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52" fillId="0" borderId="0">
      <alignment vertical="top"/>
      <protection locked="0"/>
    </xf>
    <xf numFmtId="0" fontId="53" fillId="0" borderId="0">
      <protection locked="0"/>
    </xf>
    <xf numFmtId="173" fontId="52" fillId="0" borderId="0">
      <alignment vertical="top"/>
      <protection locked="0"/>
    </xf>
    <xf numFmtId="0" fontId="54" fillId="0" borderId="0">
      <protection locked="0"/>
    </xf>
    <xf numFmtId="0" fontId="55" fillId="4" borderId="20">
      <alignment vertical="top"/>
      <protection locked="0"/>
    </xf>
    <xf numFmtId="0" fontId="3" fillId="5" borderId="0">
      <alignment vertical="top"/>
      <protection locked="0"/>
    </xf>
    <xf numFmtId="0" fontId="35" fillId="0" borderId="0">
      <protection locked="0"/>
    </xf>
  </cellStyleXfs>
  <cellXfs count="307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 applyAlignment="1"/>
    <xf numFmtId="9" fontId="2" fillId="2" borderId="0" xfId="0" applyNumberFormat="1" applyFont="1" applyFill="1" applyAlignment="1"/>
    <xf numFmtId="0" fontId="4" fillId="2" borderId="0" xfId="0" applyFont="1" applyFill="1" applyAlignment="1">
      <alignment horizontal="left" wrapText="1"/>
    </xf>
    <xf numFmtId="164" fontId="2" fillId="2" borderId="0" xfId="0" applyNumberFormat="1" applyFont="1" applyFill="1" applyAlignment="1"/>
    <xf numFmtId="0" fontId="4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6" fillId="2" borderId="3" xfId="0" applyFont="1" applyFill="1" applyBorder="1" applyAlignment="1">
      <alignment vertical="center" wrapText="1"/>
    </xf>
    <xf numFmtId="2" fontId="7" fillId="2" borderId="3" xfId="0" applyNumberFormat="1" applyFont="1" applyFill="1" applyBorder="1" applyAlignment="1"/>
    <xf numFmtId="0" fontId="6" fillId="2" borderId="0" xfId="0" applyFont="1" applyFill="1" applyAlignment="1">
      <alignment vertical="center" wrapText="1"/>
    </xf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165" fontId="9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/>
    <xf numFmtId="0" fontId="8" fillId="2" borderId="0" xfId="0" applyFont="1" applyFill="1" applyAlignment="1">
      <alignment vertical="center" wrapText="1"/>
    </xf>
    <xf numFmtId="2" fontId="8" fillId="2" borderId="0" xfId="0" applyNumberFormat="1" applyFont="1" applyFill="1" applyBorder="1" applyAlignment="1"/>
    <xf numFmtId="0" fontId="7" fillId="3" borderId="0" xfId="0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vertical="center" wrapText="1"/>
    </xf>
    <xf numFmtId="165" fontId="8" fillId="3" borderId="0" xfId="0" applyNumberFormat="1" applyFont="1" applyFill="1" applyBorder="1" applyAlignment="1">
      <alignment horizontal="center"/>
    </xf>
    <xf numFmtId="9" fontId="10" fillId="0" borderId="6" xfId="1" applyFont="1" applyBorder="1" applyAlignment="1">
      <alignment horizontal="center"/>
      <protection locked="0"/>
    </xf>
    <xf numFmtId="2" fontId="8" fillId="2" borderId="0" xfId="0" applyNumberFormat="1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Alignment="1">
      <alignment horizontal="center" wrapText="1"/>
    </xf>
    <xf numFmtId="9" fontId="1" fillId="2" borderId="0" xfId="0" applyNumberFormat="1" applyFont="1" applyFill="1" applyAlignment="1">
      <alignment horizontal="center" vertical="center" wrapText="1"/>
    </xf>
    <xf numFmtId="9" fontId="1" fillId="2" borderId="0" xfId="0" applyNumberFormat="1" applyFont="1" applyFill="1" applyAlignment="1"/>
    <xf numFmtId="0" fontId="8" fillId="2" borderId="8" xfId="0" applyFont="1" applyFill="1" applyBorder="1">
      <alignment vertical="center"/>
    </xf>
    <xf numFmtId="0" fontId="8" fillId="2" borderId="0" xfId="0" applyFont="1" applyFill="1">
      <alignment vertical="center"/>
    </xf>
    <xf numFmtId="0" fontId="11" fillId="2" borderId="0" xfId="0" applyFont="1" applyFill="1" applyAlignment="1"/>
    <xf numFmtId="0" fontId="10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/>
      <protection locked="0"/>
    </xf>
    <xf numFmtId="4" fontId="6" fillId="2" borderId="2" xfId="0" applyNumberFormat="1" applyFont="1" applyFill="1" applyBorder="1" applyAlignment="1"/>
    <xf numFmtId="4" fontId="8" fillId="2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/>
    <xf numFmtId="1" fontId="12" fillId="2" borderId="2" xfId="2" applyNumberFormat="1" applyFont="1" applyFill="1" applyBorder="1" applyAlignment="1">
      <alignment horizontal="center"/>
      <protection locked="0"/>
    </xf>
    <xf numFmtId="4" fontId="8" fillId="2" borderId="2" xfId="0" applyNumberFormat="1" applyFont="1" applyFill="1" applyBorder="1" applyAlignment="1">
      <alignment horizontal="right"/>
    </xf>
    <xf numFmtId="0" fontId="6" fillId="2" borderId="2" xfId="0" applyFont="1" applyFill="1" applyBorder="1">
      <alignment vertical="center"/>
    </xf>
    <xf numFmtId="4" fontId="6" fillId="2" borderId="2" xfId="0" applyNumberFormat="1" applyFont="1" applyFill="1" applyBorder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right"/>
      <protection locked="0"/>
    </xf>
    <xf numFmtId="3" fontId="6" fillId="2" borderId="0" xfId="0" applyNumberFormat="1" applyFont="1" applyFill="1" applyBorder="1" applyAlignment="1"/>
    <xf numFmtId="2" fontId="1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>
      <alignment vertical="center"/>
    </xf>
    <xf numFmtId="0" fontId="1" fillId="2" borderId="0" xfId="0" applyFont="1" applyFill="1" applyBorder="1" applyAlignment="1"/>
    <xf numFmtId="1" fontId="12" fillId="2" borderId="0" xfId="2" applyNumberFormat="1" applyFont="1" applyFill="1" applyBorder="1" applyAlignment="1">
      <alignment horizontal="right"/>
      <protection locked="0"/>
    </xf>
    <xf numFmtId="2" fontId="15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/>
    <xf numFmtId="0" fontId="6" fillId="2" borderId="2" xfId="0" applyFont="1" applyFill="1" applyBorder="1" applyAlignment="1"/>
    <xf numFmtId="0" fontId="6" fillId="2" borderId="0" xfId="0" applyFont="1" applyFill="1" applyBorder="1" applyAlignment="1"/>
    <xf numFmtId="0" fontId="8" fillId="2" borderId="0" xfId="0" applyFont="1" applyFill="1" applyBorder="1" applyAlignment="1"/>
    <xf numFmtId="0" fontId="6" fillId="2" borderId="0" xfId="0" applyFont="1" applyFill="1" applyAlignment="1">
      <alignment horizontal="center"/>
    </xf>
    <xf numFmtId="4" fontId="6" fillId="2" borderId="0" xfId="0" applyNumberFormat="1" applyFont="1" applyFill="1" applyAlignment="1"/>
    <xf numFmtId="166" fontId="14" fillId="2" borderId="0" xfId="0" applyNumberFormat="1" applyFont="1" applyFill="1" applyBorder="1" applyAlignment="1"/>
    <xf numFmtId="3" fontId="2" fillId="2" borderId="0" xfId="0" applyNumberFormat="1" applyFont="1" applyFill="1" applyAlignment="1"/>
    <xf numFmtId="9" fontId="1" fillId="0" borderId="0" xfId="0" applyNumberFormat="1" applyFont="1" applyAlignment="1"/>
    <xf numFmtId="9" fontId="1" fillId="0" borderId="12" xfId="0" applyNumberFormat="1" applyFont="1" applyBorder="1" applyAlignment="1"/>
    <xf numFmtId="0" fontId="1" fillId="0" borderId="13" xfId="0" applyFont="1" applyBorder="1" applyAlignment="1"/>
    <xf numFmtId="0" fontId="1" fillId="0" borderId="12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0" xfId="0" applyFont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2" fillId="0" borderId="0" xfId="0" applyFont="1" applyAlignment="1"/>
    <xf numFmtId="0" fontId="9" fillId="0" borderId="0" xfId="0" applyFont="1" applyAlignment="1">
      <alignment horizontal="left"/>
    </xf>
    <xf numFmtId="0" fontId="16" fillId="0" borderId="0" xfId="0" applyFont="1" applyAlignment="1"/>
    <xf numFmtId="3" fontId="16" fillId="0" borderId="0" xfId="3" applyNumberFormat="1" applyFont="1" applyFill="1" applyBorder="1" applyAlignment="1">
      <protection locked="0"/>
    </xf>
    <xf numFmtId="3" fontId="16" fillId="0" borderId="0" xfId="3" quotePrefix="1" applyNumberFormat="1" applyFont="1" applyFill="1" applyBorder="1" applyAlignment="1">
      <protection locked="0"/>
    </xf>
    <xf numFmtId="10" fontId="16" fillId="0" borderId="0" xfId="1" applyNumberFormat="1" applyFont="1" applyFill="1" applyBorder="1" applyAlignment="1">
      <protection locked="0"/>
    </xf>
    <xf numFmtId="167" fontId="17" fillId="0" borderId="0" xfId="2" applyNumberFormat="1" applyFont="1" applyFill="1" applyBorder="1" applyAlignment="1">
      <alignment horizontal="right"/>
      <protection locked="0"/>
    </xf>
    <xf numFmtId="10" fontId="2" fillId="0" borderId="0" xfId="0" applyNumberFormat="1" applyFont="1" applyAlignment="1"/>
    <xf numFmtId="10" fontId="2" fillId="0" borderId="0" xfId="1" applyNumberFormat="1" applyFont="1" applyFill="1" applyBorder="1" applyAlignment="1">
      <protection locked="0"/>
    </xf>
    <xf numFmtId="2" fontId="16" fillId="0" borderId="0" xfId="3" applyNumberFormat="1" applyFont="1" applyFill="1" applyBorder="1" applyAlignment="1">
      <protection locked="0"/>
    </xf>
    <xf numFmtId="9" fontId="16" fillId="0" borderId="0" xfId="0" applyNumberFormat="1" applyFont="1" applyAlignment="1"/>
    <xf numFmtId="10" fontId="16" fillId="0" borderId="0" xfId="0" applyNumberFormat="1" applyFont="1" applyAlignment="1"/>
    <xf numFmtId="3" fontId="16" fillId="0" borderId="0" xfId="0" applyNumberFormat="1" applyFont="1" applyAlignment="1"/>
    <xf numFmtId="4" fontId="16" fillId="0" borderId="0" xfId="0" applyNumberFormat="1" applyFont="1" applyAlignment="1"/>
    <xf numFmtId="0" fontId="18" fillId="0" borderId="0" xfId="0" applyFont="1" applyAlignment="1">
      <alignment horizontal="center" vertical="center" wrapText="1"/>
    </xf>
    <xf numFmtId="9" fontId="16" fillId="0" borderId="0" xfId="0" applyNumberFormat="1" applyFont="1">
      <alignment vertical="center"/>
    </xf>
    <xf numFmtId="10" fontId="16" fillId="0" borderId="0" xfId="0" applyNumberFormat="1" applyFont="1">
      <alignment vertical="center"/>
    </xf>
    <xf numFmtId="0" fontId="2" fillId="0" borderId="0" xfId="0" applyFont="1">
      <alignment vertical="center"/>
    </xf>
    <xf numFmtId="0" fontId="17" fillId="0" borderId="0" xfId="2" applyFont="1" applyFill="1" applyBorder="1" applyAlignment="1">
      <alignment horizontal="right"/>
      <protection locked="0"/>
    </xf>
    <xf numFmtId="4" fontId="17" fillId="0" borderId="0" xfId="2" applyNumberFormat="1" applyFont="1" applyFill="1" applyBorder="1" applyAlignment="1">
      <alignment horizontal="right"/>
      <protection locked="0"/>
    </xf>
    <xf numFmtId="4" fontId="16" fillId="0" borderId="0" xfId="3" applyNumberFormat="1" applyFont="1" applyFill="1" applyBorder="1" applyAlignment="1">
      <protection locked="0"/>
    </xf>
    <xf numFmtId="3" fontId="2" fillId="0" borderId="0" xfId="0" applyNumberFormat="1" applyFont="1" applyAlignment="1"/>
    <xf numFmtId="167" fontId="19" fillId="0" borderId="0" xfId="2" applyNumberFormat="1" applyFont="1" applyFill="1" applyBorder="1" applyAlignment="1">
      <alignment horizontal="right"/>
      <protection locked="0"/>
    </xf>
    <xf numFmtId="4" fontId="2" fillId="0" borderId="0" xfId="0" applyNumberFormat="1" applyFont="1" applyAlignment="1"/>
    <xf numFmtId="4" fontId="2" fillId="0" borderId="0" xfId="3" applyNumberFormat="1" applyFont="1" applyFill="1" applyBorder="1" applyAlignment="1">
      <protection locked="0"/>
    </xf>
    <xf numFmtId="167" fontId="2" fillId="0" borderId="0" xfId="0" applyNumberFormat="1" applyFont="1" applyAlignment="1"/>
    <xf numFmtId="9" fontId="16" fillId="0" borderId="0" xfId="1" applyNumberFormat="1" applyFont="1" applyFill="1" applyBorder="1" applyAlignment="1">
      <protection locked="0"/>
    </xf>
    <xf numFmtId="168" fontId="2" fillId="0" borderId="0" xfId="0" applyNumberFormat="1" applyFont="1" applyAlignment="1"/>
    <xf numFmtId="0" fontId="15" fillId="0" borderId="0" xfId="0" applyFont="1" applyAlignment="1">
      <alignment horizontal="left"/>
    </xf>
    <xf numFmtId="3" fontId="10" fillId="0" borderId="0" xfId="3" applyNumberFormat="1" applyFont="1" applyFill="1" applyBorder="1" applyAlignment="1">
      <protection locked="0"/>
    </xf>
    <xf numFmtId="3" fontId="10" fillId="0" borderId="0" xfId="3" quotePrefix="1" applyNumberFormat="1" applyFont="1" applyFill="1" applyBorder="1" applyAlignment="1">
      <protection locked="0"/>
    </xf>
    <xf numFmtId="0" fontId="10" fillId="0" borderId="0" xfId="0" applyFont="1" applyAlignment="1"/>
    <xf numFmtId="3" fontId="1" fillId="0" borderId="0" xfId="3" applyNumberFormat="1" applyFont="1" applyFill="1" applyBorder="1" applyAlignment="1">
      <protection locked="0"/>
    </xf>
    <xf numFmtId="9" fontId="1" fillId="0" borderId="0" xfId="1" applyNumberFormat="1" applyFont="1" applyFill="1" applyBorder="1" applyAlignment="1">
      <protection locked="0"/>
    </xf>
    <xf numFmtId="167" fontId="20" fillId="0" borderId="0" xfId="2" applyNumberFormat="1" applyFont="1" applyFill="1" applyBorder="1" applyAlignment="1">
      <alignment horizontal="right"/>
      <protection locked="0"/>
    </xf>
    <xf numFmtId="10" fontId="1" fillId="0" borderId="0" xfId="0" applyNumberFormat="1" applyFont="1" applyAlignment="1"/>
    <xf numFmtId="10" fontId="1" fillId="0" borderId="0" xfId="1" applyNumberFormat="1" applyFont="1" applyFill="1" applyBorder="1" applyAlignment="1">
      <protection locked="0"/>
    </xf>
    <xf numFmtId="2" fontId="1" fillId="0" borderId="0" xfId="3" applyNumberFormat="1" applyFont="1" applyFill="1" applyBorder="1" applyAlignment="1">
      <protection locked="0"/>
    </xf>
    <xf numFmtId="10" fontId="10" fillId="0" borderId="0" xfId="1" applyNumberFormat="1" applyFont="1" applyFill="1" applyBorder="1" applyAlignment="1">
      <protection locked="0"/>
    </xf>
    <xf numFmtId="3" fontId="1" fillId="0" borderId="0" xfId="0" applyNumberFormat="1" applyFont="1" applyAlignment="1"/>
    <xf numFmtId="4" fontId="1" fillId="0" borderId="0" xfId="0" applyNumberFormat="1" applyFont="1" applyAlignment="1"/>
    <xf numFmtId="10" fontId="1" fillId="0" borderId="0" xfId="0" applyNumberFormat="1" applyFont="1">
      <alignment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0" fillId="0" borderId="0" xfId="2" applyFont="1" applyFill="1" applyBorder="1" applyAlignment="1">
      <alignment horizontal="right"/>
      <protection locked="0"/>
    </xf>
    <xf numFmtId="4" fontId="1" fillId="0" borderId="0" xfId="3" applyNumberFormat="1" applyFont="1" applyFill="1" applyBorder="1" applyAlignment="1">
      <protection locked="0"/>
    </xf>
    <xf numFmtId="167" fontId="1" fillId="0" borderId="0" xfId="0" applyNumberFormat="1" applyFont="1" applyAlignment="1"/>
    <xf numFmtId="168" fontId="1" fillId="0" borderId="0" xfId="0" applyNumberFormat="1" applyFont="1" applyAlignment="1"/>
    <xf numFmtId="3" fontId="2" fillId="0" borderId="0" xfId="3" applyNumberFormat="1" applyFont="1" applyFill="1" applyBorder="1" applyAlignment="1">
      <protection locked="0"/>
    </xf>
    <xf numFmtId="9" fontId="2" fillId="0" borderId="0" xfId="1" applyNumberFormat="1" applyFont="1" applyFill="1" applyBorder="1" applyAlignment="1">
      <protection locked="0"/>
    </xf>
    <xf numFmtId="2" fontId="2" fillId="0" borderId="0" xfId="3" applyNumberFormat="1" applyFont="1" applyFill="1" applyBorder="1" applyAlignment="1">
      <protection locked="0"/>
    </xf>
    <xf numFmtId="10" fontId="2" fillId="0" borderId="0" xfId="0" applyNumberFormat="1" applyFont="1">
      <alignment vertical="center"/>
    </xf>
    <xf numFmtId="0" fontId="21" fillId="0" borderId="0" xfId="0" applyFont="1" applyAlignment="1">
      <alignment horizontal="center" vertical="center" wrapText="1"/>
    </xf>
    <xf numFmtId="0" fontId="19" fillId="0" borderId="0" xfId="2" applyFont="1" applyFill="1" applyBorder="1" applyAlignment="1">
      <alignment horizontal="right"/>
      <protection locked="0"/>
    </xf>
    <xf numFmtId="0" fontId="22" fillId="0" borderId="0" xfId="0" applyFont="1" applyAlignment="1"/>
    <xf numFmtId="0" fontId="23" fillId="0" borderId="0" xfId="0" applyFont="1" applyAlignment="1"/>
    <xf numFmtId="10" fontId="22" fillId="0" borderId="0" xfId="1" applyNumberFormat="1" applyFont="1" applyAlignment="1">
      <protection locked="0"/>
    </xf>
    <xf numFmtId="0" fontId="24" fillId="0" borderId="0" xfId="0" applyFont="1" applyAlignment="1"/>
    <xf numFmtId="4" fontId="24" fillId="0" borderId="0" xfId="0" applyNumberFormat="1" applyFont="1" applyAlignment="1"/>
    <xf numFmtId="2" fontId="24" fillId="0" borderId="0" xfId="3" applyNumberFormat="1" applyFont="1" applyFill="1" applyBorder="1" applyAlignment="1">
      <protection locked="0"/>
    </xf>
    <xf numFmtId="4" fontId="24" fillId="0" borderId="0" xfId="3" applyNumberFormat="1" applyFont="1" applyFill="1" applyBorder="1" applyAlignment="1">
      <protection locked="0"/>
    </xf>
    <xf numFmtId="10" fontId="24" fillId="0" borderId="0" xfId="0" applyNumberFormat="1" applyFont="1" applyAlignment="1"/>
    <xf numFmtId="2" fontId="24" fillId="0" borderId="0" xfId="0" applyNumberFormat="1" applyFont="1" applyAlignment="1"/>
    <xf numFmtId="3" fontId="24" fillId="0" borderId="0" xfId="0" applyNumberFormat="1" applyFont="1" applyAlignment="1"/>
    <xf numFmtId="0" fontId="22" fillId="0" borderId="0" xfId="4" applyFont="1" applyAlignment="1">
      <protection locked="0"/>
    </xf>
    <xf numFmtId="0" fontId="25" fillId="0" borderId="7" xfId="0" applyFont="1" applyBorder="1" applyAlignment="1">
      <alignment horizontal="center" vertical="center" wrapText="1"/>
    </xf>
    <xf numFmtId="0" fontId="26" fillId="4" borderId="20" xfId="5" applyFont="1" applyAlignment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right"/>
      <protection locked="0"/>
    </xf>
    <xf numFmtId="0" fontId="27" fillId="4" borderId="20" xfId="5" applyFont="1" applyAlignment="1">
      <alignment horizontal="right"/>
      <protection locked="0"/>
    </xf>
    <xf numFmtId="4" fontId="28" fillId="0" borderId="0" xfId="0" applyNumberFormat="1" applyFont="1" applyAlignment="1"/>
    <xf numFmtId="4" fontId="27" fillId="4" borderId="20" xfId="5" applyNumberFormat="1" applyFont="1" applyAlignment="1">
      <protection locked="0"/>
    </xf>
    <xf numFmtId="167" fontId="27" fillId="4" borderId="20" xfId="5" applyNumberFormat="1" applyFont="1" applyAlignment="1">
      <alignment horizontal="right"/>
      <protection locked="0"/>
    </xf>
    <xf numFmtId="4" fontId="23" fillId="5" borderId="8" xfId="6" applyNumberFormat="1" applyFont="1" applyBorder="1" applyAlignment="1">
      <protection locked="0"/>
    </xf>
    <xf numFmtId="0" fontId="23" fillId="5" borderId="8" xfId="6" applyFont="1" applyBorder="1" applyAlignment="1">
      <protection locked="0"/>
    </xf>
    <xf numFmtId="3" fontId="23" fillId="4" borderId="20" xfId="5" applyNumberFormat="1" applyFont="1" applyAlignment="1">
      <protection locked="0"/>
    </xf>
    <xf numFmtId="0" fontId="23" fillId="2" borderId="0" xfId="7" applyFont="1" applyFill="1" applyAlignment="1">
      <alignment horizontal="left"/>
      <protection locked="0"/>
    </xf>
    <xf numFmtId="0" fontId="22" fillId="2" borderId="0" xfId="7" applyFont="1" applyFill="1" applyAlignment="1">
      <alignment horizontal="center"/>
      <protection locked="0"/>
    </xf>
    <xf numFmtId="2" fontId="22" fillId="2" borderId="0" xfId="7" applyNumberFormat="1" applyFont="1" applyFill="1" applyAlignment="1">
      <alignment horizontal="left" vertical="top" wrapText="1"/>
      <protection locked="0"/>
    </xf>
    <xf numFmtId="0" fontId="22" fillId="2" borderId="0" xfId="7" applyFont="1" applyFill="1" applyAlignment="1">
      <protection locked="0"/>
    </xf>
    <xf numFmtId="0" fontId="29" fillId="2" borderId="0" xfId="7" applyFont="1" applyFill="1" applyAlignment="1">
      <protection locked="0"/>
    </xf>
    <xf numFmtId="0" fontId="30" fillId="2" borderId="0" xfId="7" applyFont="1" applyFill="1" applyBorder="1" applyAlignment="1">
      <protection locked="0"/>
    </xf>
    <xf numFmtId="167" fontId="22" fillId="2" borderId="1" xfId="7" applyNumberFormat="1" applyFont="1" applyFill="1" applyBorder="1" applyAlignment="1">
      <protection locked="0"/>
    </xf>
    <xf numFmtId="0" fontId="22" fillId="2" borderId="1" xfId="7" applyFont="1" applyFill="1" applyBorder="1" applyAlignment="1">
      <protection locked="0"/>
    </xf>
    <xf numFmtId="0" fontId="22" fillId="0" borderId="0" xfId="7" applyFont="1" applyAlignment="1">
      <protection locked="0"/>
    </xf>
    <xf numFmtId="167" fontId="22" fillId="2" borderId="0" xfId="7" applyNumberFormat="1" applyFont="1" applyFill="1" applyAlignment="1">
      <protection locked="0"/>
    </xf>
    <xf numFmtId="0" fontId="31" fillId="0" borderId="0" xfId="0" applyFont="1" applyAlignment="1"/>
    <xf numFmtId="0" fontId="32" fillId="0" borderId="0" xfId="0" applyFont="1" applyAlignment="1"/>
    <xf numFmtId="10" fontId="31" fillId="0" borderId="0" xfId="1" applyNumberFormat="1" applyFont="1" applyAlignment="1">
      <protection locked="0"/>
    </xf>
    <xf numFmtId="0" fontId="25" fillId="0" borderId="0" xfId="0" applyFont="1" applyAlignment="1"/>
    <xf numFmtId="4" fontId="25" fillId="0" borderId="0" xfId="0" applyNumberFormat="1" applyFont="1" applyAlignment="1"/>
    <xf numFmtId="2" fontId="25" fillId="0" borderId="0" xfId="3" applyNumberFormat="1" applyFont="1" applyFill="1" applyBorder="1" applyAlignment="1">
      <protection locked="0"/>
    </xf>
    <xf numFmtId="4" fontId="25" fillId="0" borderId="0" xfId="3" applyNumberFormat="1" applyFont="1" applyFill="1" applyBorder="1" applyAlignment="1">
      <protection locked="0"/>
    </xf>
    <xf numFmtId="10" fontId="25" fillId="0" borderId="0" xfId="0" applyNumberFormat="1" applyFont="1" applyAlignment="1"/>
    <xf numFmtId="2" fontId="25" fillId="0" borderId="0" xfId="0" applyNumberFormat="1" applyFont="1" applyAlignment="1"/>
    <xf numFmtId="3" fontId="25" fillId="0" borderId="0" xfId="0" applyNumberFormat="1" applyFont="1" applyAlignment="1"/>
    <xf numFmtId="0" fontId="31" fillId="0" borderId="0" xfId="4" applyFont="1" applyAlignment="1">
      <protection locked="0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right"/>
      <protection locked="0"/>
    </xf>
    <xf numFmtId="0" fontId="26" fillId="4" borderId="20" xfId="5" applyFont="1" applyAlignment="1">
      <alignment horizontal="right"/>
      <protection locked="0"/>
    </xf>
    <xf numFmtId="4" fontId="34" fillId="0" borderId="0" xfId="0" applyNumberFormat="1" applyFont="1" applyAlignment="1"/>
    <xf numFmtId="4" fontId="26" fillId="4" borderId="20" xfId="5" applyNumberFormat="1" applyFont="1" applyAlignment="1">
      <protection locked="0"/>
    </xf>
    <xf numFmtId="167" fontId="26" fillId="4" borderId="20" xfId="5" applyNumberFormat="1" applyFont="1" applyAlignment="1">
      <alignment horizontal="right"/>
      <protection locked="0"/>
    </xf>
    <xf numFmtId="4" fontId="32" fillId="5" borderId="8" xfId="6" applyNumberFormat="1" applyFont="1" applyBorder="1" applyAlignment="1">
      <protection locked="0"/>
    </xf>
    <xf numFmtId="0" fontId="32" fillId="5" borderId="8" xfId="6" applyFont="1" applyBorder="1" applyAlignment="1">
      <protection locked="0"/>
    </xf>
    <xf numFmtId="3" fontId="32" fillId="4" borderId="20" xfId="5" applyNumberFormat="1" applyFont="1" applyAlignment="1">
      <protection locked="0"/>
    </xf>
    <xf numFmtId="0" fontId="35" fillId="2" borderId="0" xfId="7" applyFill="1" applyAlignment="1">
      <protection locked="0"/>
    </xf>
    <xf numFmtId="0" fontId="36" fillId="2" borderId="0" xfId="7" applyFont="1" applyFill="1" applyAlignment="1">
      <protection locked="0"/>
    </xf>
    <xf numFmtId="0" fontId="37" fillId="6" borderId="0" xfId="7" quotePrefix="1" applyFont="1" applyFill="1" applyAlignment="1">
      <alignment horizontal="right"/>
      <protection locked="0"/>
    </xf>
    <xf numFmtId="0" fontId="37" fillId="6" borderId="0" xfId="7" applyFont="1" applyFill="1" applyAlignment="1">
      <alignment horizontal="right"/>
      <protection locked="0"/>
    </xf>
    <xf numFmtId="169" fontId="37" fillId="6" borderId="0" xfId="7" applyNumberFormat="1" applyFont="1" applyFill="1">
      <protection locked="0"/>
    </xf>
    <xf numFmtId="0" fontId="37" fillId="6" borderId="0" xfId="7" applyFont="1" applyFill="1">
      <protection locked="0"/>
    </xf>
    <xf numFmtId="0" fontId="35" fillId="2" borderId="0" xfId="7" applyFill="1">
      <protection locked="0"/>
    </xf>
    <xf numFmtId="0" fontId="38" fillId="2" borderId="0" xfId="7" applyFont="1" applyFill="1" applyAlignment="1">
      <protection locked="0"/>
    </xf>
    <xf numFmtId="0" fontId="39" fillId="6" borderId="0" xfId="7" applyFont="1" applyFill="1">
      <protection locked="0"/>
    </xf>
    <xf numFmtId="10" fontId="37" fillId="6" borderId="0" xfId="7" applyNumberFormat="1" applyFont="1" applyFill="1">
      <protection locked="0"/>
    </xf>
    <xf numFmtId="4" fontId="37" fillId="6" borderId="0" xfId="7" applyNumberFormat="1" applyFont="1" applyFill="1">
      <protection locked="0"/>
    </xf>
    <xf numFmtId="9" fontId="37" fillId="6" borderId="0" xfId="7" applyNumberFormat="1" applyFont="1" applyFill="1">
      <protection locked="0"/>
    </xf>
    <xf numFmtId="4" fontId="35" fillId="2" borderId="0" xfId="7" applyNumberFormat="1" applyFill="1" applyAlignment="1">
      <alignment horizontal="center"/>
      <protection locked="0"/>
    </xf>
    <xf numFmtId="169" fontId="37" fillId="6" borderId="0" xfId="7" applyNumberFormat="1" applyFont="1" applyFill="1" applyAlignment="1">
      <protection locked="0"/>
    </xf>
    <xf numFmtId="1" fontId="40" fillId="6" borderId="0" xfId="7" applyNumberFormat="1" applyFont="1" applyFill="1">
      <protection locked="0"/>
    </xf>
    <xf numFmtId="2" fontId="40" fillId="2" borderId="0" xfId="7" applyNumberFormat="1" applyFont="1" applyFill="1" applyAlignment="1">
      <protection locked="0"/>
    </xf>
    <xf numFmtId="4" fontId="35" fillId="2" borderId="0" xfId="7" applyNumberFormat="1" applyFill="1" applyAlignment="1">
      <protection locked="0"/>
    </xf>
    <xf numFmtId="0" fontId="41" fillId="0" borderId="0" xfId="7" applyFont="1" applyAlignment="1">
      <protection locked="0"/>
    </xf>
    <xf numFmtId="10" fontId="41" fillId="0" borderId="0" xfId="7" applyNumberFormat="1" applyFont="1" applyAlignment="1">
      <protection locked="0"/>
    </xf>
    <xf numFmtId="0" fontId="41" fillId="2" borderId="0" xfId="7" applyFont="1" applyFill="1" applyAlignment="1">
      <protection locked="0"/>
    </xf>
    <xf numFmtId="10" fontId="35" fillId="2" borderId="0" xfId="7" applyNumberFormat="1" applyFill="1" applyAlignment="1">
      <protection locked="0"/>
    </xf>
    <xf numFmtId="0" fontId="36" fillId="7" borderId="0" xfId="7" applyFont="1" applyFill="1" applyAlignment="1">
      <protection locked="0"/>
    </xf>
    <xf numFmtId="10" fontId="35" fillId="7" borderId="0" xfId="7" applyNumberFormat="1" applyFill="1" applyAlignment="1">
      <protection locked="0"/>
    </xf>
    <xf numFmtId="0" fontId="35" fillId="0" borderId="0" xfId="7" applyAlignment="1">
      <protection locked="0"/>
    </xf>
    <xf numFmtId="0" fontId="42" fillId="2" borderId="0" xfId="7" applyFont="1" applyFill="1" applyAlignment="1">
      <alignment horizontal="center"/>
      <protection locked="0"/>
    </xf>
    <xf numFmtId="0" fontId="35" fillId="2" borderId="0" xfId="7" applyFill="1" applyAlignment="1">
      <alignment horizontal="right"/>
      <protection locked="0"/>
    </xf>
    <xf numFmtId="169" fontId="35" fillId="2" borderId="0" xfId="7" applyNumberFormat="1" applyFill="1" applyAlignment="1">
      <alignment horizontal="left"/>
      <protection locked="0"/>
    </xf>
    <xf numFmtId="169" fontId="8" fillId="2" borderId="0" xfId="7" applyNumberFormat="1" applyFont="1" applyFill="1" applyAlignment="1">
      <alignment horizontal="left"/>
      <protection locked="0"/>
    </xf>
    <xf numFmtId="169" fontId="36" fillId="2" borderId="0" xfId="7" applyNumberFormat="1" applyFont="1" applyFill="1" applyAlignment="1">
      <alignment horizontal="left"/>
      <protection locked="0"/>
    </xf>
    <xf numFmtId="167" fontId="35" fillId="2" borderId="0" xfId="7" applyNumberFormat="1" applyFill="1" applyAlignment="1">
      <protection locked="0"/>
    </xf>
    <xf numFmtId="1" fontId="38" fillId="2" borderId="0" xfId="7" applyNumberFormat="1" applyFont="1" applyFill="1" applyAlignment="1">
      <protection locked="0"/>
    </xf>
    <xf numFmtId="0" fontId="35" fillId="2" borderId="0" xfId="7" applyFill="1" applyAlignment="1">
      <alignment horizontal="left"/>
      <protection locked="0"/>
    </xf>
    <xf numFmtId="170" fontId="35" fillId="2" borderId="0" xfId="7" applyNumberFormat="1" applyFill="1" applyAlignment="1">
      <protection locked="0"/>
    </xf>
    <xf numFmtId="4" fontId="38" fillId="2" borderId="0" xfId="7" applyNumberFormat="1" applyFont="1" applyFill="1" applyAlignment="1">
      <protection locked="0"/>
    </xf>
    <xf numFmtId="4" fontId="43" fillId="2" borderId="0" xfId="7" applyNumberFormat="1" applyFont="1" applyFill="1" applyAlignment="1">
      <protection locked="0"/>
    </xf>
    <xf numFmtId="4" fontId="36" fillId="2" borderId="0" xfId="7" applyNumberFormat="1" applyFont="1" applyFill="1" applyAlignment="1">
      <protection locked="0"/>
    </xf>
    <xf numFmtId="10" fontId="38" fillId="2" borderId="0" xfId="7" applyNumberFormat="1" applyFont="1" applyFill="1" applyAlignment="1">
      <protection locked="0"/>
    </xf>
    <xf numFmtId="169" fontId="38" fillId="0" borderId="0" xfId="7" applyNumberFormat="1" applyFont="1" applyAlignment="1">
      <protection locked="0"/>
    </xf>
    <xf numFmtId="171" fontId="35" fillId="2" borderId="0" xfId="7" applyNumberFormat="1" applyFill="1" applyAlignment="1">
      <protection locked="0"/>
    </xf>
    <xf numFmtId="0" fontId="39" fillId="2" borderId="0" xfId="7" applyFont="1" applyFill="1" applyAlignment="1">
      <protection locked="0"/>
    </xf>
    <xf numFmtId="0" fontId="44" fillId="0" borderId="0" xfId="7" applyFont="1" applyAlignment="1">
      <protection locked="0"/>
    </xf>
    <xf numFmtId="0" fontId="44" fillId="8" borderId="0" xfId="7" applyFont="1" applyFill="1" applyAlignment="1">
      <alignment vertical="center" wrapText="1"/>
      <protection locked="0"/>
    </xf>
    <xf numFmtId="0" fontId="47" fillId="2" borderId="0" xfId="7" applyFont="1" applyFill="1" applyAlignment="1">
      <alignment horizontal="right" wrapText="1"/>
      <protection locked="0"/>
    </xf>
    <xf numFmtId="0" fontId="48" fillId="2" borderId="0" xfId="7" applyFont="1" applyFill="1" applyAlignment="1">
      <alignment horizontal="center" wrapText="1"/>
      <protection locked="0"/>
    </xf>
    <xf numFmtId="4" fontId="38" fillId="2" borderId="0" xfId="7" applyNumberFormat="1" applyFont="1" applyFill="1" applyAlignment="1">
      <alignment horizontal="center"/>
      <protection locked="0"/>
    </xf>
    <xf numFmtId="4" fontId="35" fillId="2" borderId="0" xfId="7" applyNumberFormat="1" applyFill="1" applyAlignment="1">
      <alignment horizontal="right"/>
      <protection locked="0"/>
    </xf>
    <xf numFmtId="172" fontId="35" fillId="2" borderId="0" xfId="7" applyNumberFormat="1" applyFill="1" applyAlignment="1">
      <protection locked="0"/>
    </xf>
    <xf numFmtId="3" fontId="35" fillId="2" borderId="0" xfId="7" applyNumberFormat="1" applyFill="1" applyAlignment="1">
      <protection locked="0"/>
    </xf>
    <xf numFmtId="172" fontId="49" fillId="2" borderId="0" xfId="7" applyNumberFormat="1" applyFont="1" applyFill="1" applyAlignment="1">
      <protection locked="0"/>
    </xf>
    <xf numFmtId="0" fontId="49" fillId="2" borderId="0" xfId="7" applyFont="1" applyFill="1" applyAlignment="1">
      <protection locked="0"/>
    </xf>
    <xf numFmtId="4" fontId="49" fillId="2" borderId="0" xfId="7" applyNumberFormat="1" applyFont="1" applyFill="1" applyAlignment="1">
      <protection locked="0"/>
    </xf>
    <xf numFmtId="3" fontId="49" fillId="2" borderId="0" xfId="7" applyNumberFormat="1" applyFont="1" applyFill="1" applyAlignment="1">
      <protection locked="0"/>
    </xf>
    <xf numFmtId="4" fontId="49" fillId="2" borderId="0" xfId="7" applyNumberFormat="1" applyFont="1" applyFill="1" applyAlignment="1">
      <alignment horizontal="center"/>
      <protection locked="0"/>
    </xf>
    <xf numFmtId="4" fontId="49" fillId="2" borderId="0" xfId="7" applyNumberFormat="1" applyFont="1" applyFill="1" applyAlignment="1">
      <alignment horizontal="right"/>
      <protection locked="0"/>
    </xf>
    <xf numFmtId="172" fontId="50" fillId="8" borderId="0" xfId="7" applyNumberFormat="1" applyFont="1" applyFill="1" applyAlignment="1">
      <alignment horizontal="center"/>
      <protection locked="0"/>
    </xf>
    <xf numFmtId="4" fontId="50" fillId="9" borderId="0" xfId="7" applyNumberFormat="1" applyFont="1" applyFill="1" applyAlignment="1">
      <protection locked="0"/>
    </xf>
    <xf numFmtId="0" fontId="50" fillId="8" borderId="0" xfId="7" applyFont="1" applyFill="1" applyAlignment="1">
      <protection locked="0"/>
    </xf>
    <xf numFmtId="4" fontId="50" fillId="8" borderId="0" xfId="7" applyNumberFormat="1" applyFont="1" applyFill="1" applyAlignment="1">
      <protection locked="0"/>
    </xf>
    <xf numFmtId="4" fontId="50" fillId="8" borderId="0" xfId="7" applyNumberFormat="1" applyFont="1" applyFill="1" applyAlignment="1">
      <alignment horizontal="center"/>
      <protection locked="0"/>
    </xf>
    <xf numFmtId="3" fontId="50" fillId="8" borderId="0" xfId="7" applyNumberFormat="1" applyFont="1" applyFill="1" applyAlignment="1">
      <protection locked="0"/>
    </xf>
    <xf numFmtId="169" fontId="35" fillId="2" borderId="0" xfId="7" applyNumberFormat="1" applyFill="1" applyAlignment="1">
      <protection locked="0"/>
    </xf>
    <xf numFmtId="0" fontId="51" fillId="2" borderId="0" xfId="7" applyFont="1" applyFill="1" applyAlignment="1">
      <protection locked="0"/>
    </xf>
    <xf numFmtId="0" fontId="35" fillId="2" borderId="1" xfId="7" applyFill="1" applyBorder="1" applyAlignment="1">
      <protection locked="0"/>
    </xf>
    <xf numFmtId="4" fontId="35" fillId="0" borderId="0" xfId="7" applyNumberFormat="1" applyAlignment="1">
      <protection locked="0"/>
    </xf>
    <xf numFmtId="0" fontId="1" fillId="2" borderId="0" xfId="0" applyFont="1" applyFill="1" applyAlignment="1"/>
    <xf numFmtId="1" fontId="12" fillId="2" borderId="10" xfId="2" applyNumberFormat="1" applyFont="1" applyFill="1" applyBorder="1" applyAlignment="1">
      <alignment horizontal="center" vertical="center" wrapText="1"/>
      <protection locked="0"/>
    </xf>
    <xf numFmtId="1" fontId="12" fillId="2" borderId="11" xfId="2" applyNumberFormat="1" applyFont="1" applyFill="1" applyBorder="1" applyAlignment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 wrapText="1"/>
    </xf>
    <xf numFmtId="2" fontId="15" fillId="2" borderId="0" xfId="0" applyNumberFormat="1" applyFont="1" applyFill="1" applyAlignment="1">
      <alignment horizontal="left" wrapText="1"/>
    </xf>
    <xf numFmtId="2" fontId="15" fillId="2" borderId="0" xfId="0" applyNumberFormat="1" applyFont="1" applyFill="1" applyAlignment="1">
      <alignment horizontal="left" vertical="center" wrapText="1"/>
    </xf>
    <xf numFmtId="0" fontId="8" fillId="2" borderId="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165" fontId="8" fillId="3" borderId="3" xfId="0" applyNumberFormat="1" applyFont="1" applyFill="1" applyBorder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2" fontId="7" fillId="2" borderId="2" xfId="0" applyNumberFormat="1" applyFont="1" applyFill="1" applyBorder="1" applyAlignment="1"/>
    <xf numFmtId="4" fontId="8" fillId="2" borderId="10" xfId="0" applyNumberFormat="1" applyFont="1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/>
    <xf numFmtId="0" fontId="1" fillId="2" borderId="6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65" fontId="9" fillId="2" borderId="3" xfId="0" applyNumberFormat="1" applyFont="1" applyFill="1" applyBorder="1" applyAlignment="1">
      <alignment horizontal="center"/>
    </xf>
    <xf numFmtId="165" fontId="9" fillId="2" borderId="5" xfId="0" applyNumberFormat="1" applyFont="1" applyFill="1" applyBorder="1" applyAlignment="1">
      <alignment horizontal="center"/>
    </xf>
    <xf numFmtId="165" fontId="9" fillId="2" borderId="4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vertical="center" wrapText="1"/>
    </xf>
    <xf numFmtId="2" fontId="14" fillId="2" borderId="0" xfId="0" applyNumberFormat="1" applyFont="1" applyFill="1" applyAlignment="1">
      <alignment horizontal="center" vertical="center"/>
    </xf>
    <xf numFmtId="9" fontId="10" fillId="0" borderId="2" xfId="1" applyFont="1" applyBorder="1" applyAlignment="1">
      <alignment horizontal="center"/>
      <protection locked="0"/>
    </xf>
    <xf numFmtId="0" fontId="8" fillId="2" borderId="3" xfId="0" applyFont="1" applyFill="1" applyBorder="1" applyAlignment="1"/>
    <xf numFmtId="0" fontId="8" fillId="2" borderId="5" xfId="0" applyFont="1" applyFill="1" applyBorder="1" applyAlignment="1"/>
    <xf numFmtId="0" fontId="8" fillId="2" borderId="4" xfId="0" applyFont="1" applyFill="1" applyBorder="1" applyAlignment="1"/>
    <xf numFmtId="0" fontId="23" fillId="5" borderId="7" xfId="6" applyFont="1" applyBorder="1" applyAlignment="1">
      <alignment horizontal="center"/>
      <protection locked="0"/>
    </xf>
    <xf numFmtId="0" fontId="23" fillId="5" borderId="8" xfId="6" applyFont="1" applyBorder="1" applyAlignment="1">
      <alignment horizontal="center"/>
      <protection locked="0"/>
    </xf>
    <xf numFmtId="0" fontId="30" fillId="2" borderId="0" xfId="7" applyFont="1" applyFill="1" applyAlignment="1">
      <alignment horizontal="center"/>
      <protection locked="0"/>
    </xf>
    <xf numFmtId="167" fontId="22" fillId="2" borderId="21" xfId="7" applyNumberFormat="1" applyFont="1" applyFill="1" applyBorder="1" applyAlignment="1">
      <alignment horizontal="left"/>
      <protection locked="0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5" borderId="7" xfId="6" applyFont="1" applyBorder="1" applyAlignment="1">
      <alignment horizontal="center"/>
      <protection locked="0"/>
    </xf>
    <xf numFmtId="0" fontId="32" fillId="5" borderId="8" xfId="6" applyFont="1" applyBorder="1" applyAlignment="1">
      <alignment horizontal="center"/>
      <protection locked="0"/>
    </xf>
    <xf numFmtId="0" fontId="35" fillId="2" borderId="0" xfId="7" applyFill="1">
      <protection locked="0"/>
    </xf>
    <xf numFmtId="0" fontId="35" fillId="2" borderId="0" xfId="7" applyFill="1" applyAlignment="1">
      <alignment horizontal="center"/>
      <protection locked="0"/>
    </xf>
    <xf numFmtId="172" fontId="50" fillId="8" borderId="0" xfId="7" applyNumberFormat="1" applyFont="1" applyFill="1" applyAlignment="1">
      <alignment horizontal="center"/>
      <protection locked="0"/>
    </xf>
    <xf numFmtId="4" fontId="36" fillId="2" borderId="0" xfId="7" applyNumberFormat="1" applyFont="1" applyFill="1">
      <protection locked="0"/>
    </xf>
    <xf numFmtId="0" fontId="45" fillId="2" borderId="0" xfId="7" applyFont="1" applyFill="1" applyAlignment="1">
      <alignment horizontal="center" wrapText="1"/>
      <protection locked="0"/>
    </xf>
    <xf numFmtId="0" fontId="46" fillId="0" borderId="0" xfId="7" applyFont="1" applyAlignment="1">
      <alignment horizontal="center" wrapText="1"/>
      <protection locked="0"/>
    </xf>
    <xf numFmtId="4" fontId="36" fillId="2" borderId="0" xfId="7" applyNumberFormat="1" applyFont="1" applyFill="1" applyAlignment="1">
      <alignment horizontal="right"/>
      <protection locked="0"/>
    </xf>
    <xf numFmtId="0" fontId="35" fillId="2" borderId="0" xfId="7" applyFill="1" applyAlignment="1">
      <alignment horizontal="right"/>
      <protection locked="0"/>
    </xf>
    <xf numFmtId="0" fontId="36" fillId="2" borderId="0" xfId="7" applyFont="1" applyFill="1" applyAlignment="1">
      <alignment horizontal="right"/>
      <protection locked="0"/>
    </xf>
    <xf numFmtId="167" fontId="36" fillId="2" borderId="0" xfId="7" applyNumberFormat="1" applyFont="1" applyFill="1">
      <protection locked="0"/>
    </xf>
    <xf numFmtId="0" fontId="36" fillId="2" borderId="0" xfId="7" applyFont="1" applyFill="1">
      <protection locked="0"/>
    </xf>
    <xf numFmtId="0" fontId="42" fillId="2" borderId="0" xfId="7" applyFont="1" applyFill="1" applyAlignment="1">
      <alignment horizontal="center"/>
      <protection locked="0"/>
    </xf>
    <xf numFmtId="0" fontId="35" fillId="0" borderId="0" xfId="7">
      <protection locked="0"/>
    </xf>
    <xf numFmtId="167" fontId="36" fillId="2" borderId="0" xfId="7" applyNumberFormat="1" applyFont="1" applyFill="1" applyAlignment="1">
      <alignment horizontal="right"/>
      <protection locked="0"/>
    </xf>
    <xf numFmtId="4" fontId="35" fillId="2" borderId="0" xfId="7" applyNumberFormat="1" applyFill="1">
      <protection locked="0"/>
    </xf>
  </cellXfs>
  <cellStyles count="8">
    <cellStyle name="60% — акцент3" xfId="6" xr:uid="{00000000-0005-0000-0000-000006000000}"/>
    <cellStyle name="Вывод" xfId="5" xr:uid="{00000000-0005-0000-0000-000005000000}"/>
    <cellStyle name="Обычный" xfId="0" builtinId="0"/>
    <cellStyle name="Обычный 2" xfId="4" xr:uid="{00000000-0005-0000-0000-000004000000}"/>
    <cellStyle name="Обычный 3" xfId="2" xr:uid="{00000000-0005-0000-0000-000002000000}"/>
    <cellStyle name="Обычный 4" xfId="7" xr:uid="{00000000-0005-0000-0000-000007000000}"/>
    <cellStyle name="Процентный" xfId="1" builtinId="5"/>
    <cellStyle name="Финансовый 2" xfId="3" xr:uid="{00000000-0005-0000-0000-000003000000}"/>
  </cellStyles>
  <dxfs count="122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www.wps.cn/officeDocument/2020/cellImage" Target="NUL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32930</xdr:colOff>
      <xdr:row>6</xdr:row>
      <xdr:rowOff>37653</xdr:rowOff>
    </xdr:from>
    <xdr:to>
      <xdr:col>2</xdr:col>
      <xdr:colOff>366436</xdr:colOff>
      <xdr:row>7</xdr:row>
      <xdr:rowOff>139489</xdr:rowOff>
    </xdr:to>
    <xdr:sp macro="" textlink="">
      <xdr:nvSpPr>
        <xdr:cNvPr id="2" name="wedgeRoundRectCallou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072" y="1250157"/>
          <a:ext cx="1561042" cy="326760"/>
        </a:xfrm>
        <a:prstGeom prst="wedgeRoundRectCallout">
          <a:avLst/>
        </a:prstGeom>
        <a:solidFill>
          <a:srgbClr val="002060"/>
        </a:solidFill>
        <a:ln w="9525" cap="flat" cmpd="sng">
          <a:solidFill>
            <a:srgbClr val="40719C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/>
        <a:p>
          <a:pPr algn="l"/>
          <a:r>
            <a:rPr lang="en-US" altLang="zh-CN" sz="1100" b="1">
              <a:solidFill>
                <a:srgbClr val="FFFFFF"/>
              </a:solidFill>
              <a:latin typeface="Calibri" panose="00000000000000000000" charset="0"/>
              <a:ea typeface="Calibri" panose="00000000000000000000" charset="0"/>
            </a:rPr>
            <a:t>Укажите цену ПЛ</a:t>
          </a:r>
        </a:p>
        <a:p>
          <a:pPr algn="l"/>
          <a:endParaRPr/>
        </a:p>
      </xdr:txBody>
    </xdr:sp>
    <xdr:clientData/>
  </xdr:twoCellAnchor>
  <xdr:twoCellAnchor>
    <xdr:from>
      <xdr:col>23</xdr:col>
      <xdr:colOff>136831</xdr:colOff>
      <xdr:row>5</xdr:row>
      <xdr:rowOff>164306</xdr:rowOff>
    </xdr:from>
    <xdr:to>
      <xdr:col>55</xdr:col>
      <xdr:colOff>439303</xdr:colOff>
      <xdr:row>8</xdr:row>
      <xdr:rowOff>0</xdr:rowOff>
    </xdr:to>
    <xdr:pic>
      <xdr:nvPicPr>
        <xdr:cNvPr id="3" name="Рисунок 3" descr="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1" t="39734" r="10637" b="37928"/>
        <a:stretch>
          <a:fillRect/>
        </a:stretch>
      </xdr:blipFill>
      <xdr:spPr>
        <a:xfrm>
          <a:off x="7736417" y="1153585"/>
          <a:ext cx="2947832" cy="5080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145404</xdr:colOff>
      <xdr:row>0</xdr:row>
      <xdr:rowOff>63400</xdr:rowOff>
    </xdr:from>
    <xdr:to>
      <xdr:col>0</xdr:col>
      <xdr:colOff>1131623</xdr:colOff>
      <xdr:row>1</xdr:row>
      <xdr:rowOff>50006</xdr:rowOff>
    </xdr:to>
    <xdr:pic>
      <xdr:nvPicPr>
        <xdr:cNvPr id="2" name="Рисунок 1" descr=" 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0725" t="42848" r="10637" b="30017"/>
        <a:stretch>
          <a:fillRect/>
        </a:stretch>
      </xdr:blipFill>
      <xdr:spPr>
        <a:xfrm>
          <a:off x="145676" y="67235"/>
          <a:ext cx="985974" cy="227853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24765</xdr:rowOff>
    </xdr:from>
    <xdr:to>
      <xdr:col>1</xdr:col>
      <xdr:colOff>635071</xdr:colOff>
      <xdr:row>1</xdr:row>
      <xdr:rowOff>151685</xdr:rowOff>
    </xdr:to>
    <xdr:pic>
      <xdr:nvPicPr>
        <xdr:cNvPr id="2" name="Рисунок 1" descr=" 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" t="39734" r="10637" b="30017"/>
        <a:stretch>
          <a:fillRect/>
        </a:stretch>
      </xdr:blipFill>
      <xdr:spPr>
        <a:xfrm>
          <a:off x="419100" y="28575"/>
          <a:ext cx="1387748" cy="3238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24765</xdr:rowOff>
    </xdr:from>
    <xdr:to>
      <xdr:col>2</xdr:col>
      <xdr:colOff>62933</xdr:colOff>
      <xdr:row>1</xdr:row>
      <xdr:rowOff>151685</xdr:rowOff>
    </xdr:to>
    <xdr:pic>
      <xdr:nvPicPr>
        <xdr:cNvPr id="2" name="Рисунок 1" descr=" 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" t="39734" r="10637" b="30017"/>
        <a:stretch>
          <a:fillRect/>
        </a:stretch>
      </xdr:blipFill>
      <xdr:spPr>
        <a:xfrm>
          <a:off x="419100" y="28575"/>
          <a:ext cx="1387748" cy="3238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24765</xdr:rowOff>
    </xdr:from>
    <xdr:to>
      <xdr:col>2</xdr:col>
      <xdr:colOff>53576</xdr:colOff>
      <xdr:row>1</xdr:row>
      <xdr:rowOff>151685</xdr:rowOff>
    </xdr:to>
    <xdr:pic>
      <xdr:nvPicPr>
        <xdr:cNvPr id="2" name="Рисунок 1" descr=" 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" t="39734" r="10637" b="30017"/>
        <a:stretch>
          <a:fillRect/>
        </a:stretch>
      </xdr:blipFill>
      <xdr:spPr>
        <a:xfrm>
          <a:off x="419100" y="28575"/>
          <a:ext cx="1387748" cy="3238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24765</xdr:rowOff>
    </xdr:from>
    <xdr:to>
      <xdr:col>2</xdr:col>
      <xdr:colOff>16145</xdr:colOff>
      <xdr:row>1</xdr:row>
      <xdr:rowOff>151685</xdr:rowOff>
    </xdr:to>
    <xdr:pic>
      <xdr:nvPicPr>
        <xdr:cNvPr id="2" name="Рисунок 1" descr=" 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" t="39734" r="10637" b="30017"/>
        <a:stretch>
          <a:fillRect/>
        </a:stretch>
      </xdr:blipFill>
      <xdr:spPr>
        <a:xfrm>
          <a:off x="419100" y="28575"/>
          <a:ext cx="1387748" cy="3238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24765</xdr:rowOff>
    </xdr:from>
    <xdr:to>
      <xdr:col>2</xdr:col>
      <xdr:colOff>53567</xdr:colOff>
      <xdr:row>1</xdr:row>
      <xdr:rowOff>151685</xdr:rowOff>
    </xdr:to>
    <xdr:pic>
      <xdr:nvPicPr>
        <xdr:cNvPr id="2" name="Рисунок 1" descr=" 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" t="39734" r="10637" b="30017"/>
        <a:stretch>
          <a:fillRect/>
        </a:stretch>
      </xdr:blipFill>
      <xdr:spPr>
        <a:xfrm>
          <a:off x="419100" y="28575"/>
          <a:ext cx="1387748" cy="3238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24765</xdr:rowOff>
    </xdr:from>
    <xdr:to>
      <xdr:col>1</xdr:col>
      <xdr:colOff>797190</xdr:colOff>
      <xdr:row>1</xdr:row>
      <xdr:rowOff>151685</xdr:rowOff>
    </xdr:to>
    <xdr:pic>
      <xdr:nvPicPr>
        <xdr:cNvPr id="2" name="Рисунок 1" descr=" 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" t="39734" r="10637" b="30017"/>
        <a:stretch>
          <a:fillRect/>
        </a:stretch>
      </xdr:blipFill>
      <xdr:spPr>
        <a:xfrm>
          <a:off x="419100" y="28575"/>
          <a:ext cx="1387748" cy="3238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25330</xdr:rowOff>
    </xdr:from>
    <xdr:to>
      <xdr:col>1</xdr:col>
      <xdr:colOff>749530</xdr:colOff>
      <xdr:row>1</xdr:row>
      <xdr:rowOff>151983</xdr:rowOff>
    </xdr:to>
    <xdr:pic>
      <xdr:nvPicPr>
        <xdr:cNvPr id="2" name="Рисунок 1" descr=" 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" t="39734" r="10637" b="30017"/>
        <a:stretch>
          <a:fillRect/>
        </a:stretch>
      </xdr:blipFill>
      <xdr:spPr>
        <a:xfrm>
          <a:off x="419100" y="28575"/>
          <a:ext cx="1387748" cy="3238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24765</xdr:rowOff>
    </xdr:from>
    <xdr:to>
      <xdr:col>1</xdr:col>
      <xdr:colOff>720219</xdr:colOff>
      <xdr:row>1</xdr:row>
      <xdr:rowOff>151685</xdr:rowOff>
    </xdr:to>
    <xdr:pic>
      <xdr:nvPicPr>
        <xdr:cNvPr id="2" name="Рисунок 1" descr=" 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" t="39734" r="10637" b="30017"/>
        <a:stretch>
          <a:fillRect/>
        </a:stretch>
      </xdr:blipFill>
      <xdr:spPr>
        <a:xfrm>
          <a:off x="419100" y="28575"/>
          <a:ext cx="1387748" cy="3238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0;&#1086;&#1084;&#1072;&#1088;&#1086;&#1074;&#1072;%2520&#1056;&#1041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-АНКЕТА"/>
      <sheetName val="ПРОДУКТЫ (НЕ ПЕЧАТАТЬ)"/>
      <sheetName val="СОГЛАСИЕ"/>
      <sheetName val="ДФЛ"/>
      <sheetName val="УСЛОВИЯ ДФЛ"/>
      <sheetName val="ПРИЛОЖЕНИЕ №1"/>
      <sheetName val="ПРИЛОЖЕНИЕ №2_3 мес (БЕЗ%)"/>
      <sheetName val=" СПРАВКА 3 мес (БЕЗ%)"/>
      <sheetName val="ПРИЛОЖЕНИЕ №2_3 мес"/>
      <sheetName val="СПРАВКА 3 мес"/>
      <sheetName val="ПРИЛОЖЕНИЕ №2_6 мес (БЕЗ%) "/>
      <sheetName val="СПРАВКА 6 мес (БЕЗ%)"/>
      <sheetName val="ПРИЛОЖЕНИЕ №2_6 мес ПРОЦЕНТ "/>
      <sheetName val="СПРАВКА 6 мес"/>
      <sheetName val="ПРИЛОЖЕНИЕ №2_9 мес (БЕЗ%)"/>
      <sheetName val="СПРАВКА 9 мес (БЕЗ%)"/>
      <sheetName val="ПРИЛОЖЕНИЕ №2_9 мес ПРОЦЕНТ  "/>
      <sheetName val="СПРАВКА 9 мес"/>
      <sheetName val="ПРИЛОЖЕНИЕ №2_13мес (БЕЗ%)"/>
      <sheetName val="СПРАВКА 13 мес (БЕЗ%)"/>
      <sheetName val="ПРИЛОЖЕНИЕ №2_13мес ПРОЦЕНТ"/>
      <sheetName val="СПРАВКА 13 мес"/>
      <sheetName val="ПРИЛОЖЕНИЕ №2_24мес (БЕЗ%1-год)"/>
      <sheetName val="СПРАВКА 24 мес (БЕЗ%1-год)"/>
      <sheetName val="ПРИЛОЖЕНИЕ №2_24мес ПРОЦЕНТ "/>
      <sheetName val="СПРАВКА 24 мес"/>
      <sheetName val="ПРИЛОЖЕНИЕ №2_36 мес ПРОЦЕНТ"/>
      <sheetName val="СПРАВКА 36 мес %"/>
      <sheetName val="ПРИЛОЖЕНИЕ №2_36 мес АННУИТЕТ %"/>
      <sheetName val="СПРАВКА 36 мес АННУИТЕТ "/>
      <sheetName val="ПРИЛОЖЕНИЕ №3"/>
      <sheetName val="РЕКВИЗИТЫ НА ОПЛАТУ"/>
      <sheetName val="СПЕЦИФИКАЦИЯ к ДКП"/>
      <sheetName val="Скоринг I (Баллы)"/>
      <sheetName val="Анкета идентификации"/>
      <sheetName val="Скоринг II КИ"/>
      <sheetName val="Скоринг III Платежеспособность"/>
      <sheetName val="Минюст"/>
      <sheetName val="Акт передачи прав собственности"/>
      <sheetName val="Заявление о расторжении"/>
      <sheetName val="Акт возврата"/>
      <sheetName val="Соглашение о расторжении ДФ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17"/>
  <sheetViews>
    <sheetView tabSelected="1" zoomScale="85" zoomScaleNormal="85" workbookViewId="0">
      <selection activeCell="J23" sqref="J23"/>
    </sheetView>
  </sheetViews>
  <sheetFormatPr defaultColWidth="9.140625" defaultRowHeight="15"/>
  <cols>
    <col min="1" max="3" width="9.140625" style="1"/>
    <col min="4" max="4" width="1.140625" style="1" customWidth="1"/>
    <col min="5" max="5" width="2.5703125" style="1" customWidth="1"/>
    <col min="6" max="6" width="11.85546875" style="1" customWidth="1"/>
    <col min="7" max="7" width="11.85546875" style="1" hidden="1" customWidth="1"/>
    <col min="8" max="8" width="10.7109375" style="1" hidden="1" customWidth="1"/>
    <col min="9" max="10" width="13" style="1" customWidth="1"/>
    <col min="11" max="11" width="4.42578125" style="1" customWidth="1"/>
    <col min="12" max="12" width="11.5703125" style="1" customWidth="1"/>
    <col min="13" max="13" width="11.85546875" style="1" hidden="1" customWidth="1"/>
    <col min="14" max="14" width="11.5703125" style="1" hidden="1" customWidth="1"/>
    <col min="15" max="15" width="12.28515625" style="1" bestFit="1" customWidth="1"/>
    <col min="16" max="16" width="10.42578125" style="1" customWidth="1"/>
    <col min="17" max="17" width="4.7109375" style="1" customWidth="1"/>
    <col min="18" max="18" width="11.7109375" style="1" customWidth="1"/>
    <col min="19" max="19" width="11.42578125" style="1" hidden="1" customWidth="1"/>
    <col min="20" max="20" width="12" style="1" hidden="1" customWidth="1"/>
    <col min="21" max="21" width="12.28515625" style="1" bestFit="1" customWidth="1"/>
    <col min="22" max="22" width="10" style="1" customWidth="1"/>
    <col min="23" max="23" width="4.7109375" style="1" customWidth="1"/>
    <col min="24" max="24" width="11.5703125" style="1" customWidth="1"/>
    <col min="25" max="25" width="10.85546875" style="1" hidden="1" customWidth="1"/>
    <col min="26" max="26" width="11.28515625" style="1" hidden="1" customWidth="1"/>
    <col min="27" max="27" width="9.7109375" style="1" customWidth="1"/>
    <col min="28" max="28" width="9.140625" style="1" customWidth="1"/>
    <col min="29" max="29" width="11.7109375" style="1" hidden="1" customWidth="1"/>
    <col min="30" max="30" width="9.5703125" style="1" hidden="1" customWidth="1"/>
    <col min="31" max="31" width="10.5703125" style="1" hidden="1" customWidth="1"/>
    <col min="32" max="32" width="9.85546875" style="1" hidden="1" customWidth="1"/>
    <col min="33" max="33" width="4.5703125" style="1" hidden="1" customWidth="1"/>
    <col min="34" max="54" width="9.140625" style="2" hidden="1" customWidth="1"/>
    <col min="55" max="55" width="9.140625" style="3"/>
    <col min="56" max="56" width="9.140625" style="2"/>
    <col min="57" max="60" width="9.140625" style="2" hidden="1" customWidth="1"/>
    <col min="61" max="16384" width="9.140625" style="1"/>
  </cols>
  <sheetData>
    <row r="1" spans="1:66" ht="3.75" customHeight="1">
      <c r="AI1" s="2" t="s">
        <v>118</v>
      </c>
      <c r="AJ1" s="4">
        <v>0</v>
      </c>
      <c r="BC1" s="3" t="s">
        <v>118</v>
      </c>
    </row>
    <row r="2" spans="1:66" ht="21" customHeight="1"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I2" s="2" t="s">
        <v>119</v>
      </c>
      <c r="AJ2" s="4">
        <v>0.01</v>
      </c>
      <c r="BC2" s="3" t="s">
        <v>119</v>
      </c>
      <c r="BF2" s="6">
        <v>12</v>
      </c>
    </row>
    <row r="3" spans="1:66" s="2" customFormat="1" ht="17.25" customHeight="1">
      <c r="A3" s="1"/>
      <c r="B3" s="1"/>
      <c r="C3" s="1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J3" s="4"/>
      <c r="BC3" s="3"/>
      <c r="BF3" s="6">
        <v>18</v>
      </c>
      <c r="BI3" s="1"/>
      <c r="BJ3" s="1"/>
      <c r="BK3" s="1"/>
      <c r="BL3" s="1"/>
      <c r="BM3" s="1"/>
      <c r="BN3" s="1"/>
    </row>
    <row r="4" spans="1:66" s="2" customFormat="1" ht="17.25" customHeight="1">
      <c r="A4" s="1"/>
      <c r="B4" s="1"/>
      <c r="C4" s="1"/>
      <c r="D4" s="5"/>
      <c r="E4" s="5"/>
      <c r="F4" s="5"/>
      <c r="G4" s="5"/>
      <c r="H4" s="5"/>
      <c r="I4" s="253" t="s">
        <v>197</v>
      </c>
      <c r="J4" s="253"/>
      <c r="K4" s="253"/>
      <c r="L4" s="253"/>
      <c r="M4" s="253"/>
      <c r="N4" s="253"/>
      <c r="O4" s="253"/>
      <c r="P4" s="7"/>
      <c r="Q4" s="253" t="s">
        <v>198</v>
      </c>
      <c r="R4" s="253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J4" s="4"/>
      <c r="BC4" s="3"/>
      <c r="BF4" s="6">
        <v>24</v>
      </c>
      <c r="BI4" s="1"/>
      <c r="BJ4" s="1"/>
      <c r="BK4" s="1"/>
      <c r="BL4" s="1"/>
      <c r="BM4" s="1"/>
      <c r="BN4" s="1"/>
    </row>
    <row r="5" spans="1:66" s="2" customFormat="1" ht="17.25" customHeight="1">
      <c r="A5" s="1"/>
      <c r="B5" s="1"/>
      <c r="C5" s="1"/>
      <c r="D5" s="5"/>
      <c r="E5" s="5"/>
      <c r="F5" s="5" t="s">
        <v>192</v>
      </c>
      <c r="G5" s="5"/>
      <c r="H5" s="5"/>
      <c r="I5" s="264"/>
      <c r="J5" s="264"/>
      <c r="K5" s="264"/>
      <c r="L5" s="264"/>
      <c r="M5" s="264"/>
      <c r="N5" s="264"/>
      <c r="O5" s="264"/>
      <c r="P5" s="9"/>
      <c r="Q5" s="251">
        <v>1000</v>
      </c>
      <c r="R5" s="252"/>
      <c r="S5" s="5"/>
      <c r="T5" s="5"/>
      <c r="U5" s="5"/>
      <c r="V5" s="5"/>
      <c r="W5" s="277" t="s">
        <v>199</v>
      </c>
      <c r="X5" s="277"/>
      <c r="Y5" s="277"/>
      <c r="Z5" s="277"/>
      <c r="AA5" s="277"/>
      <c r="AB5" s="277"/>
      <c r="AC5" s="277"/>
      <c r="AD5" s="277"/>
      <c r="AE5" s="277"/>
      <c r="AF5" s="277"/>
      <c r="AG5" s="5"/>
      <c r="AJ5" s="4"/>
      <c r="BC5" s="3"/>
      <c r="BF5" s="6">
        <v>36</v>
      </c>
      <c r="BI5" s="1"/>
      <c r="BJ5" s="1"/>
      <c r="BK5" s="1"/>
      <c r="BL5" s="1"/>
      <c r="BM5" s="1"/>
      <c r="BN5" s="1"/>
    </row>
    <row r="6" spans="1:66" s="2" customFormat="1" ht="17.25" customHeight="1">
      <c r="A6" s="1"/>
      <c r="B6" s="1"/>
      <c r="C6" s="1"/>
      <c r="D6" s="5"/>
      <c r="E6" s="5"/>
      <c r="F6" s="5" t="s">
        <v>193</v>
      </c>
      <c r="G6" s="5"/>
      <c r="H6" s="5"/>
      <c r="I6" s="278"/>
      <c r="J6" s="278"/>
      <c r="K6" s="278"/>
      <c r="L6" s="278"/>
      <c r="M6" s="278"/>
      <c r="N6" s="278"/>
      <c r="O6" s="278"/>
      <c r="P6" s="10"/>
      <c r="Q6" s="251">
        <v>0</v>
      </c>
      <c r="R6" s="252"/>
      <c r="S6" s="5"/>
      <c r="T6" s="5"/>
      <c r="U6" s="5"/>
      <c r="V6" s="5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5"/>
      <c r="AJ6" s="4"/>
      <c r="BC6" s="3"/>
      <c r="BF6" s="6"/>
      <c r="BI6" s="1"/>
      <c r="BJ6" s="1"/>
      <c r="BK6" s="1"/>
      <c r="BL6" s="1"/>
      <c r="BM6" s="1"/>
      <c r="BN6" s="1"/>
    </row>
    <row r="7" spans="1:66" s="2" customFormat="1" ht="17.25" customHeight="1">
      <c r="A7" s="1"/>
      <c r="B7" s="1"/>
      <c r="C7" s="1"/>
      <c r="D7" s="5"/>
      <c r="E7" s="5"/>
      <c r="F7" s="5" t="s">
        <v>194</v>
      </c>
      <c r="G7" s="5"/>
      <c r="H7" s="5"/>
      <c r="I7" s="265"/>
      <c r="J7" s="265"/>
      <c r="K7" s="265"/>
      <c r="L7" s="265"/>
      <c r="M7" s="265"/>
      <c r="N7" s="265"/>
      <c r="O7" s="265"/>
      <c r="P7" s="11"/>
      <c r="Q7" s="251"/>
      <c r="R7" s="252"/>
      <c r="S7" s="5"/>
      <c r="T7" s="5"/>
      <c r="U7" s="5"/>
      <c r="V7" s="5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5"/>
      <c r="AJ7" s="4"/>
      <c r="BC7" s="3"/>
      <c r="BF7" s="6"/>
      <c r="BI7" s="1"/>
      <c r="BJ7" s="1"/>
      <c r="BK7" s="1"/>
      <c r="BL7" s="1"/>
      <c r="BM7" s="1"/>
      <c r="BN7" s="1"/>
    </row>
    <row r="8" spans="1:66" s="2" customFormat="1" ht="17.25" customHeight="1">
      <c r="A8" s="1"/>
      <c r="B8" s="1"/>
      <c r="C8" s="1"/>
      <c r="D8" s="5"/>
      <c r="E8" s="5"/>
      <c r="F8" s="5" t="s">
        <v>195</v>
      </c>
      <c r="G8" s="5"/>
      <c r="H8" s="5"/>
      <c r="I8" s="264"/>
      <c r="J8" s="264"/>
      <c r="K8" s="264"/>
      <c r="L8" s="264"/>
      <c r="M8" s="264"/>
      <c r="N8" s="264"/>
      <c r="O8" s="264"/>
      <c r="P8" s="9"/>
      <c r="Q8" s="251"/>
      <c r="R8" s="252"/>
      <c r="S8" s="5"/>
      <c r="T8" s="5"/>
      <c r="U8" s="5"/>
      <c r="V8" s="5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5"/>
      <c r="AJ8" s="4"/>
      <c r="BC8" s="3"/>
      <c r="BF8" s="6"/>
      <c r="BI8" s="1"/>
      <c r="BJ8" s="1"/>
      <c r="BK8" s="1"/>
      <c r="BL8" s="1"/>
      <c r="BM8" s="1"/>
      <c r="BN8" s="1"/>
    </row>
    <row r="9" spans="1:66" s="2" customFormat="1" ht="17.25" customHeight="1">
      <c r="A9" s="1"/>
      <c r="B9" s="1"/>
      <c r="C9" s="1"/>
      <c r="D9" s="5"/>
      <c r="E9" s="5"/>
      <c r="F9" s="5" t="s">
        <v>196</v>
      </c>
      <c r="G9" s="5"/>
      <c r="H9" s="5"/>
      <c r="I9" s="265"/>
      <c r="J9" s="265"/>
      <c r="K9" s="265"/>
      <c r="L9" s="265"/>
      <c r="M9" s="265"/>
      <c r="N9" s="265"/>
      <c r="O9" s="265"/>
      <c r="P9" s="11"/>
      <c r="Q9" s="251"/>
      <c r="R9" s="252"/>
      <c r="S9" s="5"/>
      <c r="T9" s="5"/>
      <c r="U9" s="5"/>
      <c r="V9" s="5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5"/>
      <c r="AJ9" s="4"/>
      <c r="BC9" s="3"/>
      <c r="BF9" s="6"/>
      <c r="BI9" s="1"/>
      <c r="BJ9" s="1"/>
      <c r="BK9" s="1"/>
      <c r="BL9" s="1"/>
      <c r="BM9" s="1"/>
      <c r="BN9" s="1"/>
    </row>
    <row r="10" spans="1:66" s="2" customForma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"/>
      <c r="Y10" s="1"/>
      <c r="Z10" s="1"/>
      <c r="AA10" s="1"/>
      <c r="AB10" s="1"/>
      <c r="AC10" s="1"/>
      <c r="AD10" s="1"/>
      <c r="AE10" s="1"/>
      <c r="AF10" s="1"/>
      <c r="AG10" s="1"/>
      <c r="AJ10" s="4"/>
      <c r="BC10" s="3"/>
      <c r="BF10" s="6"/>
      <c r="BI10" s="1"/>
      <c r="BJ10" s="1"/>
      <c r="BK10" s="1"/>
      <c r="BL10" s="1"/>
      <c r="BM10" s="1"/>
      <c r="BN10" s="1"/>
    </row>
    <row r="11" spans="1:66" s="2" customFormat="1" ht="15.6" customHeight="1">
      <c r="A11" s="1"/>
      <c r="B11" s="1"/>
      <c r="C11" s="1"/>
      <c r="D11" s="1"/>
      <c r="E11" s="1"/>
      <c r="F11" s="268" t="s">
        <v>120</v>
      </c>
      <c r="G11" s="268"/>
      <c r="H11" s="268"/>
      <c r="I11" s="268"/>
      <c r="J11" s="14"/>
      <c r="K11" s="271">
        <f>SUM(Q5:Q9)</f>
        <v>1000</v>
      </c>
      <c r="L11" s="272"/>
      <c r="M11" s="272"/>
      <c r="N11" s="272"/>
      <c r="O11" s="273"/>
      <c r="P11" s="15"/>
      <c r="Q11" s="16"/>
      <c r="R11" s="1"/>
      <c r="S11" s="17"/>
      <c r="T11" s="12"/>
      <c r="U11" s="12"/>
      <c r="V11" s="12"/>
      <c r="W11" s="12"/>
      <c r="X11" s="18"/>
      <c r="Y11" s="12"/>
      <c r="Z11" s="12"/>
      <c r="AA11" s="1"/>
      <c r="AB11" s="18"/>
      <c r="AC11" s="18"/>
      <c r="AD11" s="18"/>
      <c r="AE11" s="18"/>
      <c r="AF11" s="18"/>
      <c r="AG11" s="18"/>
      <c r="AJ11" s="4"/>
      <c r="BC11" s="3"/>
      <c r="BF11" s="6"/>
      <c r="BI11" s="1"/>
      <c r="BJ11" s="1"/>
      <c r="BK11" s="1"/>
      <c r="BL11" s="1"/>
      <c r="BM11" s="1"/>
      <c r="BN11" s="1"/>
    </row>
    <row r="12" spans="1:66" s="2" customFormat="1" ht="15.75" hidden="1">
      <c r="A12" s="1"/>
      <c r="B12" s="1"/>
      <c r="C12" s="1"/>
      <c r="D12" s="1"/>
      <c r="E12" s="1"/>
      <c r="F12" s="268" t="s">
        <v>200</v>
      </c>
      <c r="G12" s="268"/>
      <c r="H12" s="268"/>
      <c r="I12" s="268"/>
      <c r="J12" s="14"/>
      <c r="K12" s="257" t="s">
        <v>115</v>
      </c>
      <c r="L12" s="258"/>
      <c r="M12" s="258"/>
      <c r="N12" s="258"/>
      <c r="O12" s="259"/>
      <c r="P12" s="19"/>
      <c r="Q12" s="1"/>
      <c r="R12" s="1"/>
      <c r="S12" s="1"/>
      <c r="T12" s="1"/>
      <c r="U12" s="1"/>
      <c r="V12" s="1"/>
      <c r="W12" s="1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J12" s="4"/>
      <c r="BC12" s="3"/>
      <c r="BI12" s="1"/>
      <c r="BJ12" s="1"/>
      <c r="BK12" s="1"/>
      <c r="BL12" s="1"/>
      <c r="BM12" s="1"/>
      <c r="BN12" s="1"/>
    </row>
    <row r="13" spans="1:66" s="2" customFormat="1" ht="54" hidden="1" customHeight="1">
      <c r="A13" s="1"/>
      <c r="B13" s="1"/>
      <c r="C13" s="1"/>
      <c r="D13" s="1"/>
      <c r="E13" s="1"/>
      <c r="F13" s="268" t="s">
        <v>188</v>
      </c>
      <c r="G13" s="268"/>
      <c r="H13" s="268"/>
      <c r="I13" s="268"/>
      <c r="J13" s="14"/>
      <c r="K13" s="261">
        <v>0</v>
      </c>
      <c r="L13" s="262"/>
      <c r="M13" s="262"/>
      <c r="N13" s="262"/>
      <c r="O13" s="263"/>
      <c r="P13" s="21"/>
      <c r="Q13" s="1"/>
      <c r="R13" s="1"/>
      <c r="S13" s="1"/>
      <c r="T13" s="1"/>
      <c r="U13" s="1"/>
      <c r="V13" s="1"/>
      <c r="W13" s="1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J13" s="4"/>
      <c r="BC13" s="3"/>
      <c r="BI13" s="1"/>
      <c r="BJ13" s="1"/>
      <c r="BK13" s="1"/>
      <c r="BL13" s="1"/>
      <c r="BM13" s="1"/>
      <c r="BN13" s="1"/>
    </row>
    <row r="14" spans="1:66" s="2" customFormat="1" ht="48" hidden="1" customHeight="1">
      <c r="A14" s="1"/>
      <c r="B14" s="1"/>
      <c r="C14" s="1"/>
      <c r="D14" s="1"/>
      <c r="E14" s="1"/>
      <c r="F14" s="268" t="s">
        <v>189</v>
      </c>
      <c r="G14" s="268"/>
      <c r="H14" s="268"/>
      <c r="I14" s="268"/>
      <c r="J14" s="13"/>
      <c r="K14" s="280">
        <f>K13/K11</f>
        <v>0</v>
      </c>
      <c r="L14" s="280"/>
      <c r="M14" s="280"/>
      <c r="N14" s="280"/>
      <c r="O14" s="280"/>
      <c r="P14" s="22"/>
      <c r="Q14" s="269" t="s">
        <v>191</v>
      </c>
      <c r="R14" s="270"/>
      <c r="S14" s="270"/>
      <c r="T14" s="270"/>
      <c r="U14" s="270"/>
      <c r="V14" s="270"/>
      <c r="W14" s="270"/>
      <c r="X14" s="270"/>
      <c r="Y14" s="23"/>
      <c r="Z14" s="23"/>
      <c r="AA14" s="23"/>
      <c r="AB14" s="23"/>
      <c r="AC14" s="23"/>
      <c r="AD14" s="23"/>
      <c r="AE14" s="23"/>
      <c r="AF14" s="23"/>
      <c r="AG14" s="23"/>
      <c r="AJ14" s="4"/>
      <c r="BC14" s="3"/>
      <c r="BI14" s="1"/>
      <c r="BJ14" s="1"/>
      <c r="BK14" s="1"/>
      <c r="BL14" s="1"/>
      <c r="BM14" s="1"/>
      <c r="BN14" s="1"/>
    </row>
    <row r="15" spans="1:66" s="2" customFormat="1" ht="15.75" hidden="1">
      <c r="A15" s="1"/>
      <c r="B15" s="1"/>
      <c r="C15" s="1"/>
      <c r="D15" s="1"/>
      <c r="E15" s="1"/>
      <c r="F15" s="281"/>
      <c r="G15" s="282"/>
      <c r="H15" s="282"/>
      <c r="I15" s="283"/>
      <c r="J15" s="14"/>
      <c r="K15" s="257"/>
      <c r="L15" s="258"/>
      <c r="M15" s="258"/>
      <c r="N15" s="258"/>
      <c r="O15" s="259"/>
      <c r="P15" s="19"/>
      <c r="Q15" s="1"/>
      <c r="R15" s="1"/>
      <c r="S15" s="1"/>
      <c r="T15" s="1"/>
      <c r="U15" s="1"/>
      <c r="V15" s="1"/>
      <c r="W15" s="1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J15" s="4"/>
      <c r="BC15" s="3"/>
      <c r="BI15" s="1"/>
      <c r="BJ15" s="1"/>
      <c r="BK15" s="1"/>
      <c r="BL15" s="1"/>
      <c r="BM15" s="1"/>
      <c r="BN15" s="1"/>
    </row>
    <row r="16" spans="1:66" s="2" customFormat="1" ht="15.75" hidden="1">
      <c r="A16" s="1"/>
      <c r="B16" s="1"/>
      <c r="C16" s="1"/>
      <c r="D16" s="1"/>
      <c r="E16" s="1"/>
      <c r="F16" s="248"/>
      <c r="G16" s="249"/>
      <c r="H16" s="249"/>
      <c r="I16" s="250"/>
      <c r="J16" s="24"/>
      <c r="K16" s="274"/>
      <c r="L16" s="275"/>
      <c r="M16" s="275"/>
      <c r="N16" s="275"/>
      <c r="O16" s="276"/>
      <c r="P16" s="25"/>
      <c r="Q16" s="1"/>
      <c r="R16" s="1"/>
      <c r="S16" s="1"/>
      <c r="T16" s="1"/>
      <c r="U16" s="1"/>
      <c r="V16" s="1"/>
      <c r="W16" s="1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J16" s="4"/>
      <c r="BC16" s="3"/>
      <c r="BI16" s="1"/>
      <c r="BJ16" s="1"/>
      <c r="BK16" s="1"/>
      <c r="BL16" s="1"/>
      <c r="BM16" s="1"/>
      <c r="BN16" s="1"/>
    </row>
    <row r="17" spans="1:66" s="3" customFormat="1" ht="15" customHeight="1">
      <c r="A17" s="1"/>
      <c r="B17" s="1"/>
      <c r="C17" s="1"/>
      <c r="D17" s="1"/>
      <c r="E17" s="1"/>
      <c r="F17" s="1"/>
      <c r="G17" s="1"/>
      <c r="H17" s="26"/>
      <c r="I17" s="1"/>
      <c r="J17" s="1"/>
      <c r="K17" s="1"/>
      <c r="L17" s="1"/>
      <c r="M17" s="1"/>
      <c r="N17" s="26"/>
      <c r="O17" s="27"/>
      <c r="P17" s="27"/>
      <c r="Q17" s="1"/>
      <c r="R17" s="1"/>
      <c r="S17" s="1"/>
      <c r="T17" s="26"/>
      <c r="U17" s="27"/>
      <c r="V17" s="27"/>
      <c r="W17" s="1"/>
      <c r="X17" s="1"/>
      <c r="Y17" s="1"/>
      <c r="Z17" s="26"/>
      <c r="AA17" s="27"/>
      <c r="AB17" s="1"/>
      <c r="AC17" s="1"/>
      <c r="AD17" s="1"/>
      <c r="AE17" s="26"/>
      <c r="AF17" s="27"/>
      <c r="AG17" s="27"/>
      <c r="AH17" s="1"/>
      <c r="AI17" s="1"/>
      <c r="AJ17" s="28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1"/>
      <c r="BJ17" s="1"/>
      <c r="BK17" s="1"/>
      <c r="BL17" s="1"/>
      <c r="BM17" s="1"/>
      <c r="BN17" s="1"/>
    </row>
    <row r="18" spans="1:66" s="2" customFormat="1" ht="15" customHeight="1">
      <c r="A18" s="1"/>
      <c r="B18" s="1"/>
      <c r="C18" s="1"/>
      <c r="D18" s="1"/>
      <c r="E18" s="1"/>
      <c r="F18" s="1"/>
      <c r="G18" s="1"/>
      <c r="H18" s="1"/>
      <c r="I18" s="28"/>
      <c r="J18" s="28"/>
      <c r="K18" s="28"/>
      <c r="L18" s="1"/>
      <c r="M18" s="1"/>
      <c r="N18" s="1"/>
      <c r="O18" s="1"/>
      <c r="P18" s="1"/>
      <c r="Q18" s="28"/>
      <c r="R18" s="1"/>
      <c r="S18" s="1"/>
      <c r="T18" s="1"/>
      <c r="U18" s="1"/>
      <c r="V18" s="1"/>
      <c r="W18" s="28"/>
      <c r="X18" s="1"/>
      <c r="Y18" s="1"/>
      <c r="Z18" s="1"/>
      <c r="AA18" s="1"/>
      <c r="AB18" s="28"/>
      <c r="AC18" s="1"/>
      <c r="AD18" s="1"/>
      <c r="AE18" s="1"/>
      <c r="AF18" s="1"/>
      <c r="AG18" s="1"/>
      <c r="AH18" s="1" t="s">
        <v>115</v>
      </c>
      <c r="AI18" s="1"/>
      <c r="AJ18" s="28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I18" s="1"/>
      <c r="BJ18" s="1"/>
      <c r="BK18" s="1"/>
      <c r="BL18" s="1"/>
      <c r="BM18" s="1"/>
      <c r="BN18" s="1"/>
    </row>
    <row r="19" spans="1:66" s="2" customFormat="1" ht="16.5" customHeight="1">
      <c r="A19" s="1"/>
      <c r="B19" s="1"/>
      <c r="C19" s="1"/>
      <c r="D19" s="1"/>
      <c r="E19" s="1"/>
      <c r="F19" s="254" t="s">
        <v>124</v>
      </c>
      <c r="G19" s="255"/>
      <c r="H19" s="255"/>
      <c r="I19" s="255"/>
      <c r="J19" s="256"/>
      <c r="K19" s="28"/>
      <c r="L19" s="254" t="s">
        <v>125</v>
      </c>
      <c r="M19" s="255"/>
      <c r="N19" s="255"/>
      <c r="O19" s="255"/>
      <c r="P19" s="256"/>
      <c r="Q19" s="28"/>
      <c r="R19" s="254" t="s">
        <v>122</v>
      </c>
      <c r="S19" s="255"/>
      <c r="T19" s="255"/>
      <c r="U19" s="255"/>
      <c r="V19" s="256"/>
      <c r="W19" s="28"/>
      <c r="X19" s="254" t="s">
        <v>123</v>
      </c>
      <c r="Y19" s="255"/>
      <c r="Z19" s="255"/>
      <c r="AA19" s="255"/>
      <c r="AB19" s="256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30"/>
      <c r="BD19" s="1"/>
      <c r="BI19" s="1"/>
      <c r="BJ19" s="1"/>
      <c r="BK19" s="1"/>
      <c r="BL19" s="1"/>
      <c r="BM19" s="1"/>
      <c r="BN19" s="1"/>
    </row>
    <row r="20" spans="1:66" s="2" customFormat="1" ht="7.15" customHeight="1">
      <c r="A20" s="1"/>
      <c r="B20" s="1"/>
      <c r="C20" s="1"/>
      <c r="D20" s="1"/>
      <c r="E20" s="1"/>
      <c r="F20" s="31"/>
      <c r="G20" s="1"/>
      <c r="H20" s="1"/>
      <c r="I20" s="28"/>
      <c r="J20" s="28"/>
      <c r="K20" s="28"/>
      <c r="L20" s="1"/>
      <c r="M20" s="1"/>
      <c r="N20" s="1"/>
      <c r="O20" s="1"/>
      <c r="P20" s="1"/>
      <c r="Q20" s="28"/>
      <c r="R20" s="1"/>
      <c r="S20" s="1"/>
      <c r="T20" s="1"/>
      <c r="U20" s="1"/>
      <c r="V20" s="1"/>
      <c r="W20" s="28"/>
      <c r="X20" s="1"/>
      <c r="Y20" s="1"/>
      <c r="Z20" s="1"/>
      <c r="AA20" s="1"/>
      <c r="AB20" s="28"/>
      <c r="AC20" s="1"/>
      <c r="AD20" s="1"/>
      <c r="AE20" s="1"/>
      <c r="AF20" s="1"/>
      <c r="AG20" s="1"/>
      <c r="AJ20" s="4"/>
      <c r="BC20" s="3"/>
      <c r="BI20" s="1"/>
      <c r="BJ20" s="1"/>
      <c r="BK20" s="1"/>
      <c r="BL20" s="1"/>
      <c r="BM20" s="1"/>
      <c r="BN20" s="1"/>
    </row>
    <row r="21" spans="1:66" s="2" customFormat="1" ht="16.5" customHeight="1">
      <c r="A21" s="1"/>
      <c r="B21" s="1"/>
      <c r="C21" s="1"/>
      <c r="D21" s="1"/>
      <c r="E21" s="1"/>
      <c r="F21" s="32" t="s">
        <v>126</v>
      </c>
      <c r="G21" s="33" t="s">
        <v>103</v>
      </c>
      <c r="H21" s="33" t="s">
        <v>127</v>
      </c>
      <c r="I21" s="32" t="s">
        <v>201</v>
      </c>
      <c r="J21" s="32" t="s">
        <v>202</v>
      </c>
      <c r="K21" s="1"/>
      <c r="L21" s="32" t="s">
        <v>126</v>
      </c>
      <c r="M21" s="33" t="s">
        <v>103</v>
      </c>
      <c r="N21" s="33" t="s">
        <v>127</v>
      </c>
      <c r="O21" s="32" t="s">
        <v>201</v>
      </c>
      <c r="P21" s="32" t="s">
        <v>202</v>
      </c>
      <c r="Q21" s="1"/>
      <c r="R21" s="32" t="s">
        <v>126</v>
      </c>
      <c r="S21" s="33" t="s">
        <v>103</v>
      </c>
      <c r="T21" s="33" t="s">
        <v>127</v>
      </c>
      <c r="U21" s="32" t="s">
        <v>201</v>
      </c>
      <c r="V21" s="32" t="s">
        <v>202</v>
      </c>
      <c r="W21" s="1"/>
      <c r="X21" s="32" t="s">
        <v>126</v>
      </c>
      <c r="Y21" s="33" t="s">
        <v>103</v>
      </c>
      <c r="Z21" s="33" t="s">
        <v>127</v>
      </c>
      <c r="AA21" s="32" t="s">
        <v>128</v>
      </c>
      <c r="AB21" s="32" t="s">
        <v>128</v>
      </c>
      <c r="AC21" s="32" t="s">
        <v>126</v>
      </c>
      <c r="AD21" s="33" t="s">
        <v>103</v>
      </c>
      <c r="AE21" s="33" t="s">
        <v>127</v>
      </c>
      <c r="AF21" s="32" t="s">
        <v>128</v>
      </c>
      <c r="AG21" s="34"/>
      <c r="AJ21" s="4"/>
      <c r="BC21" s="3"/>
      <c r="BI21" s="1"/>
      <c r="BJ21" s="1"/>
      <c r="BK21" s="1"/>
      <c r="BL21" s="1"/>
      <c r="BM21" s="1"/>
      <c r="BN21" s="1"/>
    </row>
    <row r="22" spans="1:66" s="2" customFormat="1" ht="15.75">
      <c r="A22" s="1"/>
      <c r="B22" s="1"/>
      <c r="C22" s="1"/>
      <c r="D22" s="1"/>
      <c r="E22" s="1"/>
      <c r="F22" s="35" t="s">
        <v>121</v>
      </c>
      <c r="G22" s="36">
        <f>K11*K14</f>
        <v>0</v>
      </c>
      <c r="H22" s="36"/>
      <c r="I22" s="37">
        <f>IF(AND($K$15=$AI$1,$K$14&lt;0%),"-",G22+H22)</f>
        <v>0</v>
      </c>
      <c r="J22" s="37">
        <f>IF(AND($K$15=$AI$1,$K$14&lt;0%),"-",H22+I22)</f>
        <v>0</v>
      </c>
      <c r="K22" s="1"/>
      <c r="L22" s="35" t="s">
        <v>121</v>
      </c>
      <c r="M22" s="38">
        <f>IF($K$14&lt;0%,"-",K14*K11)</f>
        <v>0</v>
      </c>
      <c r="N22" s="38"/>
      <c r="O22" s="37">
        <f>IF(AND($K$15=$AI$1,$K$14&lt;0%),"-",M22+N22)</f>
        <v>0</v>
      </c>
      <c r="P22" s="37">
        <f>IF(AND($K$15=$AI$1,$K$14&lt;0%),"-",N22+O22)</f>
        <v>0</v>
      </c>
      <c r="Q22" s="1"/>
      <c r="R22" s="35" t="s">
        <v>121</v>
      </c>
      <c r="S22" s="38">
        <f>IF($K$14&lt;0%,"-",K14*K11)</f>
        <v>0</v>
      </c>
      <c r="T22" s="38"/>
      <c r="U22" s="37">
        <f>IF(AND($K$15=$AI$1,$K$14&lt;0%),"-",S22+T22)</f>
        <v>0</v>
      </c>
      <c r="V22" s="37">
        <f>IF(AND($K$15=$AI$1,$K$14&lt;0%),"-",T22+U22)</f>
        <v>0</v>
      </c>
      <c r="W22" s="1"/>
      <c r="X22" s="35" t="s">
        <v>121</v>
      </c>
      <c r="Y22" s="38">
        <f>IF($K$14&lt;0%,"-",K11*K14)</f>
        <v>0</v>
      </c>
      <c r="Z22" s="38"/>
      <c r="AA22" s="37">
        <f>IF(AND($K$15=$AI$1,$K$14&lt;0%),"-",Y22+Z22)</f>
        <v>0</v>
      </c>
      <c r="AB22" s="37">
        <f>IF(AND($K$15=$AI$1,$K$14&lt;0%),"-",Z22+AA22)</f>
        <v>0</v>
      </c>
      <c r="AC22" s="35" t="s">
        <v>121</v>
      </c>
      <c r="AD22" s="38">
        <f>IF(AND($K$14&lt;0%,K12="ФЛ"),"-",K11*K14)</f>
        <v>0</v>
      </c>
      <c r="AE22" s="38"/>
      <c r="AF22" s="37">
        <f t="shared" ref="AF22:AF53" si="0">IF(AND($K$12="ФЛ",$K$14&lt;0%),"-",AD22+AE22)</f>
        <v>0</v>
      </c>
      <c r="AG22" s="39"/>
      <c r="AJ22" s="4"/>
      <c r="BC22" s="3"/>
      <c r="BI22" s="1"/>
      <c r="BJ22" s="1"/>
      <c r="BK22" s="1"/>
      <c r="BL22" s="1"/>
      <c r="BM22" s="1"/>
      <c r="BN22" s="1"/>
    </row>
    <row r="23" spans="1:66" s="2" customFormat="1" ht="15.75">
      <c r="A23" s="1"/>
      <c r="B23" s="1"/>
      <c r="C23" s="1"/>
      <c r="D23" s="1"/>
      <c r="E23" s="1"/>
      <c r="F23" s="40" t="s">
        <v>129</v>
      </c>
      <c r="G23" s="36">
        <f>IF($K$14&lt;0%,"-",IF($K$15=$AI$2,'12 мес'!C20,'12 мес (аннуитет)'!C20))</f>
        <v>66.23467758989699</v>
      </c>
      <c r="H23" s="36">
        <f>IF($K$14&lt;0%,"-",IF($K$15=$AI$2,'12 мес'!D20+'12 мес'!E20+'12 мес'!F20,'12 мес (аннуитет)'!D20+'12 мес (аннуитет)'!E20+'12 мес (аннуитет)'!F20))</f>
        <v>40.833333333333336</v>
      </c>
      <c r="I23" s="41">
        <f>Лист1!C2+Лист1!D2</f>
        <v>124.16</v>
      </c>
      <c r="J23" s="41">
        <f>'12 мес Аннуитет'!G16</f>
        <v>107.06801092323033</v>
      </c>
      <c r="K23" s="1"/>
      <c r="L23" s="40" t="s">
        <v>129</v>
      </c>
      <c r="M23" s="38">
        <f>IF($K$14&lt;0%,"-",IF($K$15=$AI$2,'18 мес'!C21,'18 мес (аннуитет)'!C21))</f>
        <v>38.69596627662127</v>
      </c>
      <c r="N23" s="38">
        <f>IF($K$14&lt;0%,"-",IF($K$15=$AI$2,'18 мес'!D21+'18 мес'!E21+'18 мес'!F21,'18 мес (аннуитет)'!D21+'18 мес (аннуитет)'!E21+'18 мес (аннуитет)'!F21))</f>
        <v>40.833333333333336</v>
      </c>
      <c r="O23" s="37">
        <f>Лист1!F2+Лист1!G2</f>
        <v>96.39</v>
      </c>
      <c r="P23" s="37">
        <f>'18 мес Аннуитет'!G16</f>
        <v>79.529299609954606</v>
      </c>
      <c r="Q23" s="1"/>
      <c r="R23" s="40" t="s">
        <v>129</v>
      </c>
      <c r="S23" s="38">
        <f>IF($K$14&lt;0%,"-",IF($K$15=$AI$2,'24 мес'!C21,'24 мес (аннуитет)'!C21))</f>
        <v>25.314278463171654</v>
      </c>
      <c r="T23" s="38">
        <f>IF($K$14&lt;0%,"-",IF($K$15=$AI$2,'24 мес'!D21+'24 мес'!E21+'24 мес'!F21,'24 мес (аннуитет)'!D21+'24 мес (аннуитет)'!E21+'24 мес (аннуитет)'!F21))</f>
        <v>40.833333333333336</v>
      </c>
      <c r="U23" s="37">
        <f>Лист1!I2+Лист1!J2</f>
        <v>82.5</v>
      </c>
      <c r="V23" s="37">
        <f>'24 мес Аннуитет'!G16</f>
        <v>66.147611796504989</v>
      </c>
      <c r="W23" s="1"/>
      <c r="X23" s="40" t="s">
        <v>129</v>
      </c>
      <c r="Y23" s="38">
        <f>IF($K$14&lt;0%,"-",IF($K$15=$AI$2,'36 мес'!C21,'36 мес (аннуитет)'!C21))</f>
        <v>12.665463637171939</v>
      </c>
      <c r="Z23" s="38">
        <f>IF($K$14&lt;0%,"-",IF($K$15=$AI$2,'36 мес'!D21+'36 мес'!E21+'36 мес'!F21,'36 мес (аннуитет)'!D21+'36 мес (аннуитет)'!E21+'36 мес (аннуитет)'!F21))</f>
        <v>40.833333333333336</v>
      </c>
      <c r="AA23" s="37">
        <f>Лист1!L2+Лист1!M2</f>
        <v>68.61</v>
      </c>
      <c r="AB23" s="37">
        <f>'36 мес Аннуитет'!G16</f>
        <v>53.498796970505275</v>
      </c>
      <c r="AC23" s="40" t="s">
        <v>129</v>
      </c>
      <c r="AD23" s="38">
        <f>IF(AND($K$14&lt;0%,$K$12="ФЛ"),"-",IF($K$15=$AI$2,'48 мес '!C22,'48 мес  (аннуитет)'!C22))</f>
        <v>7.0063355599978721</v>
      </c>
      <c r="AE23" s="38">
        <f>IF(AND($K$14&lt;0%,$K$12="ФЛ"),"-",IF($K$15=$AI$2,'48 мес '!D22+'48 мес '!E22+'48 мес '!F22,'48 мес  (аннуитет)'!D22+'48 мес  (аннуитет)'!E22+'48 мес  (аннуитет)'!F22))</f>
        <v>40.833333333333336</v>
      </c>
      <c r="AF23" s="37">
        <f t="shared" si="0"/>
        <v>47.839668893331208</v>
      </c>
      <c r="AG23" s="39"/>
      <c r="AJ23" s="4"/>
      <c r="BC23" s="3"/>
      <c r="BI23" s="1"/>
      <c r="BJ23" s="1"/>
      <c r="BK23" s="1"/>
      <c r="BL23" s="1"/>
      <c r="BM23" s="1"/>
      <c r="BN23" s="1"/>
    </row>
    <row r="24" spans="1:66" s="2" customFormat="1" ht="15.75">
      <c r="A24" s="1"/>
      <c r="B24" s="1"/>
      <c r="C24" s="1"/>
      <c r="D24" s="1"/>
      <c r="E24" s="1"/>
      <c r="F24" s="40" t="s">
        <v>130</v>
      </c>
      <c r="G24" s="36">
        <f>IF($K$14&lt;0%,"-",IF($K$15=$AI$2,'12 мес'!C21,'12 мес (аннуитет)'!C21))</f>
        <v>68.939260258151137</v>
      </c>
      <c r="H24" s="36">
        <f>IF($K$14&lt;0%,"-",IF($K$15=$AI$2,'12 мес'!D21+'12 мес'!E21+'12 мес'!F21,'12 мес (аннуитет)'!D21+'12 мес (аннуитет)'!E21+'12 мес (аннуитет)'!F21))</f>
        <v>38.128750665079203</v>
      </c>
      <c r="I24" s="41">
        <f>Лист1!C3+Лист1!D3</f>
        <v>120.75999999999999</v>
      </c>
      <c r="J24" s="41">
        <f>'12 мес Аннуитет'!G17</f>
        <v>107.06801092323033</v>
      </c>
      <c r="K24" s="1"/>
      <c r="L24" s="40" t="s">
        <v>130</v>
      </c>
      <c r="M24" s="38">
        <f>IF($K$14&lt;0%,"-",IF($K$15=$AI$2,'18 мес'!C22,'18 мес (аннуитет)'!C22))</f>
        <v>40.276051566249969</v>
      </c>
      <c r="N24" s="38">
        <f>IF($K$14&lt;0%,"-",IF($K$15=$AI$2,'18 мес'!D22+'18 мес'!E22+'18 мес'!F22,'18 мес (аннуитет)'!D22+'18 мес (аннуитет)'!E22+'18 мес (аннуитет)'!F22))</f>
        <v>39.253248043704637</v>
      </c>
      <c r="O24" s="37">
        <f>Лист1!F3+Лист1!G3</f>
        <v>94.12</v>
      </c>
      <c r="P24" s="37">
        <f>'18 мес Аннуитет'!G17</f>
        <v>79.529299609954606</v>
      </c>
      <c r="Q24" s="1"/>
      <c r="R24" s="40" t="s">
        <v>130</v>
      </c>
      <c r="S24" s="38">
        <f>IF($K$14&lt;0%,"-",IF($K$15=$AI$2,'24 мес'!C22,'24 мес (аннуитет)'!C22))</f>
        <v>26.347944833751164</v>
      </c>
      <c r="T24" s="38">
        <f>IF($K$14&lt;0%,"-",IF($K$15=$AI$2,'24 мес'!D22+'24 мес'!E22+'24 мес'!F22,'24 мес (аннуитет)'!D22+'24 мес (аннуитет)'!E22+'24 мес (аннуитет)'!F22))</f>
        <v>39.799666962753825</v>
      </c>
      <c r="U24" s="37">
        <f>Лист1!I3+Лист1!J3</f>
        <v>80.800000000000011</v>
      </c>
      <c r="V24" s="37">
        <f>'24 мес Аннуитет'!G17</f>
        <v>66.147611796504989</v>
      </c>
      <c r="W24" s="1"/>
      <c r="X24" s="40" t="s">
        <v>130</v>
      </c>
      <c r="Y24" s="38">
        <f>IF($K$14&lt;0%,"-",IF($K$15=$AI$2,'36 мес'!C22,'36 мес (аннуитет)'!C22))</f>
        <v>13.182636735689798</v>
      </c>
      <c r="Z24" s="38">
        <f>IF($K$14&lt;0%,"-",IF($K$15=$AI$2,'36 мес'!D22+'36 мес'!E22+'36 мес'!F22,'36 мес (аннуитет)'!D22+'36 мес (аннуитет)'!E22+'36 мес (аннуитет)'!F22))</f>
        <v>40.316160234815477</v>
      </c>
      <c r="AA24" s="37">
        <f>Лист1!L3+Лист1!M3</f>
        <v>67.48</v>
      </c>
      <c r="AB24" s="37">
        <f>'36 мес Аннуитет'!G17</f>
        <v>53.498796970505275</v>
      </c>
      <c r="AC24" s="40" t="s">
        <v>130</v>
      </c>
      <c r="AD24" s="38">
        <f>IF(AND($K$14&lt;0%,$K$12="ФЛ"),"-",IF($K$15=$AI$2,'48 мес '!C23,'48 мес  (аннуитет)'!C23))</f>
        <v>7.2924275953644511</v>
      </c>
      <c r="AE24" s="38">
        <f>IF(AND($K$14&lt;0%,$K$12="ФЛ"),"-",IF($K$15=$AI$2,'48 мес '!D23+'48 мес '!E23+'48 мес '!F23,'48 мес  (аннуитет)'!D23+'48 мес  (аннуитет)'!E23+'48 мес  (аннуитет)'!F23))</f>
        <v>40.547241297966757</v>
      </c>
      <c r="AF24" s="37">
        <f t="shared" si="0"/>
        <v>47.839668893331208</v>
      </c>
      <c r="AG24" s="39"/>
      <c r="AJ24" s="4"/>
      <c r="BC24" s="3"/>
      <c r="BI24" s="1"/>
      <c r="BJ24" s="1"/>
      <c r="BK24" s="1"/>
      <c r="BL24" s="1"/>
      <c r="BM24" s="1"/>
      <c r="BN24" s="1"/>
    </row>
    <row r="25" spans="1:66" s="2" customFormat="1" ht="15.75">
      <c r="A25" s="1"/>
      <c r="B25" s="1"/>
      <c r="C25" s="1"/>
      <c r="D25" s="1"/>
      <c r="E25" s="1"/>
      <c r="F25" s="40" t="s">
        <v>131</v>
      </c>
      <c r="G25" s="36">
        <f>IF($K$14&lt;0%,"-",IF($K$15=$AI$2,'12 мес'!C22,'12 мес (аннуитет)'!C22))</f>
        <v>71.754280052025621</v>
      </c>
      <c r="H25" s="36">
        <f>IF($K$14&lt;0%,"-",IF($K$15=$AI$2,'12 мес'!D22+'12 мес'!E22+'12 мес'!F22,'12 мес (аннуитет)'!D22+'12 мес (аннуитет)'!E22+'12 мес (аннуитет)'!F22))</f>
        <v>35.313730871204704</v>
      </c>
      <c r="I25" s="41">
        <f>Лист1!C4+Лист1!D4</f>
        <v>117.36</v>
      </c>
      <c r="J25" s="41">
        <f>'12 мес Аннуитет'!G18</f>
        <v>107.06801092323033</v>
      </c>
      <c r="K25" s="1"/>
      <c r="L25" s="40" t="s">
        <v>131</v>
      </c>
      <c r="M25" s="38">
        <f>IF($K$14&lt;0%,"-",IF($K$15=$AI$2,'18 мес'!C23,'18 мес (аннуитет)'!C23))</f>
        <v>41.920657005205179</v>
      </c>
      <c r="N25" s="38">
        <f>IF($K$14&lt;0%,"-",IF($K$15=$AI$2,'18 мес'!D23+'18 мес'!E23+'18 мес'!F23,'18 мес (аннуитет)'!D23+'18 мес (аннуитет)'!E23+'18 мес (аннуитет)'!F23))</f>
        <v>37.608642604749427</v>
      </c>
      <c r="O25" s="37">
        <f>Лист1!F4+Лист1!G4</f>
        <v>91.86</v>
      </c>
      <c r="P25" s="37">
        <f>'18 мес Аннуитет'!G18</f>
        <v>79.529299609954606</v>
      </c>
      <c r="Q25" s="1"/>
      <c r="R25" s="40" t="s">
        <v>131</v>
      </c>
      <c r="S25" s="38">
        <f>IF($K$14&lt;0%,"-",IF($K$15=$AI$2,'24 мес'!C23,'24 мес (аннуитет)'!C23))</f>
        <v>27.423819247796004</v>
      </c>
      <c r="T25" s="38">
        <f>IF($K$14&lt;0%,"-",IF($K$15=$AI$2,'24 мес'!D23+'24 мес'!E23+'24 мес'!F23,'24 мес (аннуитет)'!D23+'24 мес (аннуитет)'!E23+'24 мес (аннуитет)'!F23))</f>
        <v>38.723792548708985</v>
      </c>
      <c r="U25" s="37">
        <f>Лист1!I4+Лист1!J4</f>
        <v>79.099999999999994</v>
      </c>
      <c r="V25" s="37">
        <f>'24 мес Аннуитет'!G18</f>
        <v>66.147611796504989</v>
      </c>
      <c r="W25" s="1"/>
      <c r="X25" s="40" t="s">
        <v>131</v>
      </c>
      <c r="Y25" s="38">
        <f>IF($K$14&lt;0%,"-",IF($K$15=$AI$2,'36 мес'!C23,'36 мес (аннуитет)'!C23))</f>
        <v>13.720927735730463</v>
      </c>
      <c r="Z25" s="38">
        <f>IF($K$14&lt;0%,"-",IF($K$15=$AI$2,'36 мес'!D23+'36 мес'!E23+'36 мес'!F23,'36 мес (аннуитет)'!D23+'36 мес (аннуитет)'!E23+'36 мес (аннуитет)'!F23))</f>
        <v>39.777869234774812</v>
      </c>
      <c r="AA25" s="37">
        <f>Лист1!L4+Лист1!M4</f>
        <v>66.34</v>
      </c>
      <c r="AB25" s="37">
        <f>'36 мес Аннуитет'!G18</f>
        <v>53.498796970505275</v>
      </c>
      <c r="AC25" s="40" t="s">
        <v>131</v>
      </c>
      <c r="AD25" s="38">
        <f>IF(AND($K$14&lt;0%,$K$12="ФЛ"),"-",IF($K$15=$AI$2,'48 мес '!C24,'48 мес  (аннуитет)'!C24))</f>
        <v>7.5902017221751663</v>
      </c>
      <c r="AE25" s="38">
        <f>IF(AND($K$14&lt;0%,$K$12="ФЛ"),"-",IF($K$15=$AI$2,'48 мес '!D24+'48 мес '!E24+'48 мес '!F24,'48 мес  (аннуитет)'!D24+'48 мес  (аннуитет)'!E24+'48 мес  (аннуитет)'!F24))</f>
        <v>40.249467171156041</v>
      </c>
      <c r="AF25" s="37">
        <f t="shared" si="0"/>
        <v>47.839668893331208</v>
      </c>
      <c r="AG25" s="39"/>
      <c r="AJ25" s="4"/>
      <c r="BC25" s="3"/>
      <c r="BI25" s="1"/>
      <c r="BJ25" s="1"/>
      <c r="BK25" s="1"/>
      <c r="BL25" s="1"/>
      <c r="BM25" s="1"/>
      <c r="BN25" s="1"/>
    </row>
    <row r="26" spans="1:66" s="2" customFormat="1" ht="15.75">
      <c r="A26" s="1"/>
      <c r="B26" s="1"/>
      <c r="C26" s="1"/>
      <c r="D26" s="1"/>
      <c r="E26" s="1"/>
      <c r="F26" s="40" t="s">
        <v>132</v>
      </c>
      <c r="G26" s="36">
        <f>IF($K$14&lt;0%,"-",IF($K$15=$AI$2,'12 мес'!C23,'12 мес (аннуитет)'!C23))</f>
        <v>74.684246487483335</v>
      </c>
      <c r="H26" s="36">
        <f>IF($K$14&lt;0%,"-",IF($K$15=$AI$2,'12 мес'!D23+'12 мес'!E23+'12 мес'!F23,'12 мес (аннуитет)'!D23+'12 мес (аннуитет)'!E23+'12 мес (аннуитет)'!F23))</f>
        <v>32.38376443574699</v>
      </c>
      <c r="I26" s="41">
        <f>Лист1!C5+Лист1!D5</f>
        <v>113.96</v>
      </c>
      <c r="J26" s="41">
        <f>'12 мес Аннуитет'!G19</f>
        <v>107.06801092323033</v>
      </c>
      <c r="K26" s="1"/>
      <c r="L26" s="40" t="s">
        <v>132</v>
      </c>
      <c r="M26" s="38">
        <f>IF($K$14&lt;0%,"-",IF($K$15=$AI$2,'18 мес'!C24,'18 мес (аннуитет)'!C24))</f>
        <v>43.632417166251059</v>
      </c>
      <c r="N26" s="38">
        <f>IF($K$14&lt;0%,"-",IF($K$15=$AI$2,'18 мес'!D24+'18 мес'!E24+'18 мес'!F24,'18 мес (аннуитет)'!D24+'18 мес (аннуитет)'!E24+'18 мес (аннуитет)'!F24))</f>
        <v>35.896882443703547</v>
      </c>
      <c r="O26" s="37">
        <f>Лист1!F5+Лист1!G5</f>
        <v>89.59</v>
      </c>
      <c r="P26" s="37">
        <f>'18 мес Аннуитет'!G19</f>
        <v>79.529299609954606</v>
      </c>
      <c r="Q26" s="1"/>
      <c r="R26" s="40" t="s">
        <v>132</v>
      </c>
      <c r="S26" s="38">
        <f>IF($K$14&lt;0%,"-",IF($K$15=$AI$2,'24 мес'!C24,'24 мес (аннуитет)'!C24))</f>
        <v>28.54362520041434</v>
      </c>
      <c r="T26" s="38">
        <f>IF($K$14&lt;0%,"-",IF($K$15=$AI$2,'24 мес'!D24+'24 мес'!E24+'24 мес'!F24,'24 мес (аннуитет)'!D24+'24 мес (аннуитет)'!E24+'24 мес (аннуитет)'!F24))</f>
        <v>37.60398659609065</v>
      </c>
      <c r="U26" s="37">
        <f>Лист1!I5+Лист1!J5</f>
        <v>77.400000000000006</v>
      </c>
      <c r="V26" s="37">
        <f>'24 мес Аннуитет'!G19</f>
        <v>66.147611796504989</v>
      </c>
      <c r="W26" s="1"/>
      <c r="X26" s="40" t="s">
        <v>132</v>
      </c>
      <c r="Y26" s="38">
        <f>IF($K$14&lt;0%,"-",IF($K$15=$AI$2,'36 мес'!C24,'36 мес (аннуитет)'!C24))</f>
        <v>14.281198951606122</v>
      </c>
      <c r="Z26" s="38">
        <f>IF($K$14&lt;0%,"-",IF($K$15=$AI$2,'36 мес'!D24+'36 мес'!E24+'36 мес'!F24,'36 мес (аннуитет)'!D24+'36 мес (аннуитет)'!E24+'36 мес (аннуитет)'!F24))</f>
        <v>39.217598018899153</v>
      </c>
      <c r="AA26" s="37">
        <f>Лист1!L5+Лист1!M5</f>
        <v>65.210000000000008</v>
      </c>
      <c r="AB26" s="37">
        <f>'36 мес Аннуитет'!G19</f>
        <v>53.498796970505275</v>
      </c>
      <c r="AC26" s="40" t="s">
        <v>132</v>
      </c>
      <c r="AD26" s="38">
        <f>IF(AND($K$14&lt;0%,$K$12="ФЛ"),"-",IF($K$15=$AI$2,'48 мес '!C25,'48 мес  (аннуитет)'!C25))</f>
        <v>7.9001349591639851</v>
      </c>
      <c r="AE26" s="38">
        <f>IF(AND($K$14&lt;0%,$K$12="ФЛ"),"-",IF($K$15=$AI$2,'48 мес '!D25+'48 мес '!E25+'48 мес '!F25,'48 мес  (аннуитет)'!D25+'48 мес  (аннуитет)'!E25+'48 мес  (аннуитет)'!F25))</f>
        <v>39.939533934167223</v>
      </c>
      <c r="AF26" s="37">
        <f t="shared" si="0"/>
        <v>47.839668893331208</v>
      </c>
      <c r="AG26" s="39"/>
      <c r="AJ26" s="4"/>
      <c r="BC26" s="3"/>
      <c r="BI26" s="1"/>
      <c r="BJ26" s="1"/>
      <c r="BK26" s="1"/>
      <c r="BL26" s="1"/>
      <c r="BM26" s="1"/>
      <c r="BN26" s="1"/>
    </row>
    <row r="27" spans="1:66" s="2" customFormat="1" ht="15.75">
      <c r="A27" s="1"/>
      <c r="B27" s="1"/>
      <c r="C27" s="1"/>
      <c r="D27" s="1"/>
      <c r="E27" s="1"/>
      <c r="F27" s="40" t="s">
        <v>133</v>
      </c>
      <c r="G27" s="36">
        <f>IF($K$14&lt;0%,"-",IF($K$15=$AI$2,'12 мес'!C24,'12 мес (аннуитет)'!C24))</f>
        <v>77.733853219055575</v>
      </c>
      <c r="H27" s="36">
        <f>IF($K$14&lt;0%,"-",IF($K$15=$AI$2,'12 мес'!D24+'12 мес'!E24+'12 мес'!F24,'12 мес (аннуитет)'!D24+'12 мес (аннуитет)'!E24+'12 мес (аннуитет)'!F24))</f>
        <v>29.334157704174753</v>
      </c>
      <c r="I27" s="41">
        <f>Лист1!C6+Лист1!D6</f>
        <v>110.55</v>
      </c>
      <c r="J27" s="41">
        <f>'12 мес Аннуитет'!G20</f>
        <v>107.06801092323033</v>
      </c>
      <c r="K27" s="1"/>
      <c r="L27" s="40" t="s">
        <v>133</v>
      </c>
      <c r="M27" s="38">
        <f>IF($K$14&lt;0%,"-",IF($K$15=$AI$2,'18 мес'!C25,'18 мес (аннуитет)'!C25))</f>
        <v>45.414074200539638</v>
      </c>
      <c r="N27" s="38">
        <f>IF($K$14&lt;0%,"-",IF($K$15=$AI$2,'18 мес'!D25+'18 мес'!E25+'18 мес'!F25,'18 мес (аннуитет)'!D25+'18 мес (аннуитет)'!E25+'18 мес (аннуитет)'!F25))</f>
        <v>34.115225409414968</v>
      </c>
      <c r="O27" s="37">
        <f>Лист1!F6+Лист1!G6</f>
        <v>87.320000000000007</v>
      </c>
      <c r="P27" s="37">
        <f>'18 мес Аннуитет'!G20</f>
        <v>79.529299609954606</v>
      </c>
      <c r="Q27" s="1"/>
      <c r="R27" s="40" t="s">
        <v>133</v>
      </c>
      <c r="S27" s="38">
        <f>IF($K$14&lt;0%,"-",IF($K$15=$AI$2,'24 мес'!C25,'24 мес (аннуитет)'!C25))</f>
        <v>29.709156562764598</v>
      </c>
      <c r="T27" s="38">
        <f>IF($K$14&lt;0%,"-",IF($K$15=$AI$2,'24 мес'!D25+'24 мес'!E25+'24 мес'!F25,'24 мес (аннуитет)'!D25+'24 мес (аннуитет)'!E25+'24 мес (аннуитет)'!F25))</f>
        <v>36.438455233740392</v>
      </c>
      <c r="U27" s="37">
        <f>Лист1!I6+Лист1!J6</f>
        <v>75.7</v>
      </c>
      <c r="V27" s="37">
        <f>'24 мес Аннуитет'!G20</f>
        <v>66.147611796504989</v>
      </c>
      <c r="W27" s="1"/>
      <c r="X27" s="40" t="s">
        <v>133</v>
      </c>
      <c r="Y27" s="38">
        <f>IF($K$14&lt;0%,"-",IF($K$15=$AI$2,'36 мес'!C25,'36 мес (аннуитет)'!C25))</f>
        <v>14.864347908796709</v>
      </c>
      <c r="Z27" s="38">
        <f>IF($K$14&lt;0%,"-",IF($K$15=$AI$2,'36 мес'!D25+'36 мес'!E25+'36 мес'!F25,'36 мес (аннуитет)'!D25+'36 мес (аннуитет)'!E25+'36 мес (аннуитет)'!F25))</f>
        <v>38.634449061708565</v>
      </c>
      <c r="AA27" s="37">
        <f>Лист1!L6+Лист1!M6</f>
        <v>64.08</v>
      </c>
      <c r="AB27" s="37">
        <f>'36 мес Аннуитет'!G20</f>
        <v>53.498796970505275</v>
      </c>
      <c r="AC27" s="40" t="s">
        <v>133</v>
      </c>
      <c r="AD27" s="38">
        <f>IF(AND($K$14&lt;0%,$K$12="ФЛ"),"-",IF($K$15=$AI$2,'48 мес '!C26,'48 мес  (аннуитет)'!C26))</f>
        <v>8.2227238033298491</v>
      </c>
      <c r="AE27" s="38">
        <f>IF(AND($K$14&lt;0%,$K$12="ФЛ"),"-",IF($K$15=$AI$2,'48 мес '!D26+'48 мес '!E26+'48 мес '!F26,'48 мес  (аннуитет)'!D26+'48 мес  (аннуитет)'!E26+'48 мес  (аннуитет)'!F26))</f>
        <v>39.616945090001359</v>
      </c>
      <c r="AF27" s="37">
        <f t="shared" si="0"/>
        <v>47.839668893331208</v>
      </c>
      <c r="AG27" s="39"/>
      <c r="AJ27" s="4"/>
      <c r="BC27" s="3"/>
      <c r="BI27" s="1"/>
      <c r="BJ27" s="1"/>
      <c r="BK27" s="1"/>
      <c r="BL27" s="1"/>
      <c r="BM27" s="1"/>
      <c r="BN27" s="1"/>
    </row>
    <row r="28" spans="1:66" s="2" customFormat="1" ht="15.75">
      <c r="A28" s="1"/>
      <c r="B28" s="1"/>
      <c r="C28" s="1"/>
      <c r="D28" s="1"/>
      <c r="E28" s="1"/>
      <c r="F28" s="40" t="s">
        <v>134</v>
      </c>
      <c r="G28" s="36">
        <f>IF($K$14&lt;0%,"-",IF($K$15=$AI$2,'12 мес'!C25,'12 мес (аннуитет)'!C25))</f>
        <v>80.907985558833687</v>
      </c>
      <c r="H28" s="36">
        <f>IF($K$14&lt;0%,"-",IF($K$15=$AI$2,'12 мес'!D25+'12 мес'!E25+'12 мес'!F25,'12 мес (аннуитет)'!D25+'12 мес (аннуитет)'!E25+'12 мес (аннуитет)'!F25))</f>
        <v>26.160025364396645</v>
      </c>
      <c r="I28" s="41">
        <f>Лист1!C7+Лист1!D7</f>
        <v>107.15</v>
      </c>
      <c r="J28" s="41">
        <f>'12 мес Аннуитет'!G21</f>
        <v>107.06801092323033</v>
      </c>
      <c r="K28" s="1"/>
      <c r="L28" s="40" t="s">
        <v>134</v>
      </c>
      <c r="M28" s="38">
        <f>IF($K$14&lt;0%,"-",IF($K$15=$AI$2,'18 мес'!C26,'18 мес (аннуитет)'!C26))</f>
        <v>47.268482230395009</v>
      </c>
      <c r="N28" s="38">
        <f>IF($K$14&lt;0%,"-",IF($K$15=$AI$2,'18 мес'!D26+'18 мес'!E26+'18 мес'!F26,'18 мес (аннуитет)'!D26+'18 мес (аннуитет)'!E26+'18 мес (аннуитет)'!F26))</f>
        <v>32.260817379559597</v>
      </c>
      <c r="O28" s="37">
        <f>Лист1!F7+Лист1!G7</f>
        <v>85.05</v>
      </c>
      <c r="P28" s="37">
        <f>'18 мес Аннуитет'!G21</f>
        <v>79.529299609954606</v>
      </c>
      <c r="Q28" s="1"/>
      <c r="R28" s="40" t="s">
        <v>134</v>
      </c>
      <c r="S28" s="38">
        <f>IF($K$14&lt;0%,"-",IF($K$15=$AI$2,'24 мес'!C26,'24 мес (аннуитет)'!C26))</f>
        <v>30.922280455744151</v>
      </c>
      <c r="T28" s="38">
        <f>IF($K$14&lt;0%,"-",IF($K$15=$AI$2,'24 мес'!D26+'24 мес'!E26+'24 мес'!F26,'24 мес (аннуитет)'!D26+'24 мес (аннуитет)'!E26+'24 мес (аннуитет)'!F26))</f>
        <v>35.225331340760839</v>
      </c>
      <c r="U28" s="37">
        <f>Лист1!I7+Лист1!J7</f>
        <v>74</v>
      </c>
      <c r="V28" s="37">
        <f>'24 мес Аннуитет'!G21</f>
        <v>66.147611796504989</v>
      </c>
      <c r="W28" s="1"/>
      <c r="X28" s="40" t="s">
        <v>134</v>
      </c>
      <c r="Y28" s="38">
        <f>IF($K$14&lt;0%,"-",IF($K$15=$AI$2,'36 мес'!C26,'36 мес (аннуитет)'!C26))</f>
        <v>15.471308781739239</v>
      </c>
      <c r="Z28" s="38">
        <f>IF($K$14&lt;0%,"-",IF($K$15=$AI$2,'36 мес'!D26+'36 мес'!E26+'36 мес'!F26,'36 мес (аннуитет)'!D26+'36 мес (аннуитет)'!E26+'36 мес (аннуитет)'!F26))</f>
        <v>38.027488188766036</v>
      </c>
      <c r="AA28" s="37">
        <f>Лист1!L7+Лист1!M7</f>
        <v>62.94</v>
      </c>
      <c r="AB28" s="37">
        <f>'36 мес Аннуитет'!G21</f>
        <v>53.498796970505275</v>
      </c>
      <c r="AC28" s="40" t="s">
        <v>134</v>
      </c>
      <c r="AD28" s="38">
        <f>IF(AND($K$14&lt;0%,$K$12="ФЛ"),"-",IF($K$15=$AI$2,'48 мес '!C27,'48 мес  (аннуитет)'!C27))</f>
        <v>8.5584850252991558</v>
      </c>
      <c r="AE28" s="38">
        <f>IF(AND($K$14&lt;0%,$K$12="ФЛ"),"-",IF($K$15=$AI$2,'48 мес '!D27+'48 мес '!E27+'48 мес '!F27,'48 мес  (аннуитет)'!D27+'48 мес  (аннуитет)'!E27+'48 мес  (аннуитет)'!F27))</f>
        <v>39.281183868032052</v>
      </c>
      <c r="AF28" s="37">
        <f t="shared" si="0"/>
        <v>47.839668893331208</v>
      </c>
      <c r="AG28" s="39"/>
      <c r="AJ28" s="4"/>
      <c r="BC28" s="3"/>
      <c r="BI28" s="1"/>
      <c r="BJ28" s="1"/>
      <c r="BK28" s="1"/>
      <c r="BL28" s="1"/>
      <c r="BM28" s="1"/>
      <c r="BN28" s="1"/>
    </row>
    <row r="29" spans="1:66" s="2" customFormat="1" ht="15.75">
      <c r="A29" s="1"/>
      <c r="B29" s="1"/>
      <c r="C29" s="1"/>
      <c r="D29" s="1"/>
      <c r="E29" s="1"/>
      <c r="F29" s="40" t="s">
        <v>135</v>
      </c>
      <c r="G29" s="36">
        <f>IF($K$14&lt;0%,"-",IF($K$15=$AI$2,'12 мес'!C26,'12 мес (аннуитет)'!C26))</f>
        <v>84.211728302486065</v>
      </c>
      <c r="H29" s="36">
        <f>IF($K$14&lt;0%,"-",IF($K$15=$AI$2,'12 мес'!D26+'12 мес'!E26+'12 мес'!F26,'12 мес (аннуитет)'!D26+'12 мес (аннуитет)'!E26+'12 мес (аннуитет)'!F26))</f>
        <v>22.856282620744267</v>
      </c>
      <c r="I29" s="41">
        <f>Лист1!C8+Лист1!D8</f>
        <v>103.75</v>
      </c>
      <c r="J29" s="41">
        <f>'12 мес Аннуитет'!G22</f>
        <v>107.06801092323033</v>
      </c>
      <c r="K29" s="1"/>
      <c r="L29" s="40" t="s">
        <v>135</v>
      </c>
      <c r="M29" s="38">
        <f>IF($K$14&lt;0%,"-",IF($K$15=$AI$2,'18 мес'!C27,'18 мес (аннуитет)'!C27))</f>
        <v>49.198611921469464</v>
      </c>
      <c r="N29" s="38">
        <f>IF($K$14&lt;0%,"-",IF($K$15=$AI$2,'18 мес'!D27+'18 мес'!E27+'18 мес'!F27,'18 мес (аннуитет)'!D27+'18 мес (аннуитет)'!E27+'18 мес (аннуитет)'!F27))</f>
        <v>30.330687688485138</v>
      </c>
      <c r="O29" s="37">
        <f>Лист1!F8+Лист1!G8</f>
        <v>82.78</v>
      </c>
      <c r="P29" s="37">
        <f>'18 мес Аннуитет'!G22</f>
        <v>79.529299609954606</v>
      </c>
      <c r="Q29" s="1"/>
      <c r="R29" s="40" t="s">
        <v>135</v>
      </c>
      <c r="S29" s="38">
        <f>IF($K$14&lt;0%,"-",IF($K$15=$AI$2,'24 мес'!C27,'24 мес (аннуитет)'!C27))</f>
        <v>32.184940241020371</v>
      </c>
      <c r="T29" s="38">
        <f>IF($K$14&lt;0%,"-",IF($K$15=$AI$2,'24 мес'!D27+'24 мес'!E27+'24 мес'!F27,'24 мес (аннуитет)'!D27+'24 мес (аннуитет)'!E27+'24 мес (аннуитет)'!F27))</f>
        <v>33.962671555484619</v>
      </c>
      <c r="U29" s="37">
        <f>Лист1!I8+Лист1!J8</f>
        <v>72.290000000000006</v>
      </c>
      <c r="V29" s="37">
        <f>'24 мес Аннуитет'!G22</f>
        <v>66.147611796504989</v>
      </c>
      <c r="W29" s="1"/>
      <c r="X29" s="40" t="s">
        <v>135</v>
      </c>
      <c r="Y29" s="38">
        <f>IF($K$14&lt;0%,"-",IF($K$15=$AI$2,'36 мес'!C27,'36 мес (аннуитет)'!C27))</f>
        <v>16.103053890326926</v>
      </c>
      <c r="Z29" s="38">
        <f>IF($K$14&lt;0%,"-",IF($K$15=$AI$2,'36 мес'!D27+'36 мес'!E27+'36 мес'!F27,'36 мес (аннуитет)'!D27+'36 мес (аннуитет)'!E27+'36 мес (аннуитет)'!F27))</f>
        <v>37.395743080178349</v>
      </c>
      <c r="AA29" s="37">
        <f>Лист1!L8+Лист1!M8</f>
        <v>61.81</v>
      </c>
      <c r="AB29" s="37">
        <f>'36 мес Аннуитет'!G22</f>
        <v>53.498796970505275</v>
      </c>
      <c r="AC29" s="40" t="s">
        <v>135</v>
      </c>
      <c r="AD29" s="38">
        <f>IF(AND($K$14&lt;0%,$K$12="ФЛ"),"-",IF($K$15=$AI$2,'48 мес '!C28,'48 мес  (аннуитет)'!C28))</f>
        <v>8.9079564971655358</v>
      </c>
      <c r="AE29" s="38">
        <f>IF(AND($K$14&lt;0%,$K$12="ФЛ"),"-",IF($K$15=$AI$2,'48 мес '!D28+'48 мес '!E28+'48 мес '!F28,'48 мес  (аннуитет)'!D28+'48 мес  (аннуитет)'!E28+'48 мес  (аннуитет)'!F28))</f>
        <v>38.931712396165672</v>
      </c>
      <c r="AF29" s="37">
        <f t="shared" si="0"/>
        <v>47.839668893331208</v>
      </c>
      <c r="AG29" s="39"/>
      <c r="AJ29" s="4"/>
      <c r="BC29" s="3"/>
      <c r="BI29" s="1"/>
      <c r="BJ29" s="1"/>
      <c r="BK29" s="1"/>
      <c r="BL29" s="1"/>
      <c r="BM29" s="1"/>
      <c r="BN29" s="1"/>
    </row>
    <row r="30" spans="1:66" s="2" customFormat="1" ht="15.75">
      <c r="A30" s="1"/>
      <c r="B30" s="1"/>
      <c r="C30" s="1"/>
      <c r="D30" s="1"/>
      <c r="E30" s="1"/>
      <c r="F30" s="40" t="s">
        <v>136</v>
      </c>
      <c r="G30" s="36">
        <f>IF($K$14&lt;0%,"-",IF($K$15=$AI$2,'12 мес'!C27,'12 мес (аннуитет)'!C27))</f>
        <v>87.650373874837584</v>
      </c>
      <c r="H30" s="36">
        <f>IF($K$14&lt;0%,"-",IF($K$15=$AI$2,'12 мес'!D27+'12 мес'!E27+'12 мес'!F27,'12 мес (аннуитет)'!D27+'12 мес (аннуитет)'!E27+'12 мес (аннуитет)'!F27))</f>
        <v>19.417637048392756</v>
      </c>
      <c r="I30" s="41">
        <f>Лист1!C9+Лист1!D9</f>
        <v>100.34</v>
      </c>
      <c r="J30" s="41">
        <f>'12 мес Аннуитет'!G23</f>
        <v>107.06801092323033</v>
      </c>
      <c r="K30" s="1"/>
      <c r="L30" s="40" t="s">
        <v>136</v>
      </c>
      <c r="M30" s="38">
        <f>IF($K$14&lt;0%,"-",IF($K$15=$AI$2,'18 мес'!C28,'18 мес (аннуитет)'!C28))</f>
        <v>51.20755524159614</v>
      </c>
      <c r="N30" s="38">
        <f>IF($K$14&lt;0%,"-",IF($K$15=$AI$2,'18 мес'!D28+'18 мес'!E28+'18 мес'!F28,'18 мес (аннуитет)'!D28+'18 мес (аннуитет)'!E28+'18 мес (аннуитет)'!F28))</f>
        <v>28.321744368358466</v>
      </c>
      <c r="O30" s="37">
        <f>Лист1!F9+Лист1!G9</f>
        <v>80.510000000000005</v>
      </c>
      <c r="P30" s="37">
        <f>'18 мес Аннуитет'!G23</f>
        <v>79.529299609954606</v>
      </c>
      <c r="Q30" s="1"/>
      <c r="R30" s="40" t="s">
        <v>136</v>
      </c>
      <c r="S30" s="38">
        <f>IF($K$14&lt;0%,"-",IF($K$15=$AI$2,'24 мес'!C28,'24 мес (аннуитет)'!C28))</f>
        <v>33.499158634195368</v>
      </c>
      <c r="T30" s="38">
        <f>IF($K$14&lt;0%,"-",IF($K$15=$AI$2,'24 мес'!D28+'24 мес'!E28+'24 мес'!F28,'24 мес (аннуитет)'!D28+'24 мес (аннуитет)'!E28+'24 мес (аннуитет)'!F28))</f>
        <v>32.648453162309622</v>
      </c>
      <c r="U30" s="37">
        <f>Лист1!I9+Лист1!J9</f>
        <v>70.59</v>
      </c>
      <c r="V30" s="37">
        <f>'24 мес Аннуитет'!G23</f>
        <v>66.147611796504989</v>
      </c>
      <c r="W30" s="1"/>
      <c r="X30" s="40" t="s">
        <v>136</v>
      </c>
      <c r="Y30" s="38">
        <f>IF($K$14&lt;0%,"-",IF($K$15=$AI$2,'36 мес'!C28,'36 мес (аннуитет)'!C28))</f>
        <v>16.760595257515277</v>
      </c>
      <c r="Z30" s="38">
        <f>IF($K$14&lt;0%,"-",IF($K$15=$AI$2,'36 мес'!D28+'36 мес'!E28+'36 мес'!F28,'36 мес (аннуитет)'!D28+'36 мес (аннуитет)'!E28+'36 мес (аннуитет)'!F28))</f>
        <v>36.738201712989998</v>
      </c>
      <c r="AA30" s="37">
        <f>Лист1!L9+Лист1!M9</f>
        <v>60.67</v>
      </c>
      <c r="AB30" s="37">
        <f>'36 мес Аннуитет'!G23</f>
        <v>53.498796970505275</v>
      </c>
      <c r="AC30" s="40" t="s">
        <v>136</v>
      </c>
      <c r="AD30" s="38">
        <f>IF(AND($K$14&lt;0%,$K$12="ФЛ"),"-",IF($K$15=$AI$2,'48 мес '!C29,'48 мес  (аннуитет)'!C29))</f>
        <v>9.2716980541331253</v>
      </c>
      <c r="AE30" s="38">
        <f>IF(AND($K$14&lt;0%,$K$12="ФЛ"),"-",IF($K$15=$AI$2,'48 мес '!D29+'48 мес '!E29+'48 мес '!F29,'48 мес  (аннуитет)'!D29+'48 мес  (аннуитет)'!E29+'48 мес  (аннуитет)'!F29))</f>
        <v>38.567970839198082</v>
      </c>
      <c r="AF30" s="37">
        <f t="shared" si="0"/>
        <v>47.839668893331208</v>
      </c>
      <c r="AG30" s="39"/>
      <c r="AJ30" s="4"/>
      <c r="BC30" s="3"/>
      <c r="BI30" s="1"/>
      <c r="BJ30" s="1"/>
      <c r="BK30" s="1"/>
      <c r="BL30" s="1"/>
      <c r="BM30" s="1"/>
      <c r="BN30" s="1"/>
    </row>
    <row r="31" spans="1:66" s="2" customFormat="1" ht="15.75">
      <c r="A31" s="1"/>
      <c r="B31" s="1"/>
      <c r="C31" s="1"/>
      <c r="D31" s="1"/>
      <c r="E31" s="1"/>
      <c r="F31" s="40" t="s">
        <v>137</v>
      </c>
      <c r="G31" s="36">
        <f>IF($K$14&lt;0%,"-",IF($K$15=$AI$2,'12 мес'!C28,'12 мес (аннуитет)'!C28))</f>
        <v>91.229430808060116</v>
      </c>
      <c r="H31" s="36">
        <f>IF($K$14&lt;0%,"-",IF($K$15=$AI$2,'12 мес'!D28+'12 мес'!E28+'12 мес'!F28,'12 мес (аннуитет)'!D28+'12 мес (аннуитет)'!E28+'12 мес (аннуитет)'!F28))</f>
        <v>15.838580115170219</v>
      </c>
      <c r="I31" s="41">
        <f>Лист1!C10+Лист1!D10</f>
        <v>96.94</v>
      </c>
      <c r="J31" s="41">
        <f>'12 мес Аннуитет'!G24</f>
        <v>107.06801092323033</v>
      </c>
      <c r="K31" s="1"/>
      <c r="L31" s="40" t="s">
        <v>137</v>
      </c>
      <c r="M31" s="38">
        <f>IF($K$14&lt;0%,"-",IF($K$15=$AI$2,'18 мес'!C29,'18 мес (аннуитет)'!C29))</f>
        <v>53.298530413961316</v>
      </c>
      <c r="N31" s="38">
        <f>IF($K$14&lt;0%,"-",IF($K$15=$AI$2,'18 мес'!D29+'18 мес'!E29+'18 мес'!F29,'18 мес (аннуитет)'!D29+'18 мес (аннуитет)'!E29+'18 мес (аннуитет)'!F29))</f>
        <v>26.230769195993293</v>
      </c>
      <c r="O31" s="37">
        <f>Лист1!F10+Лист1!G10</f>
        <v>78.240000000000009</v>
      </c>
      <c r="P31" s="37">
        <f>'18 мес Аннуитет'!G24</f>
        <v>79.529299609954606</v>
      </c>
      <c r="Q31" s="1"/>
      <c r="R31" s="40" t="s">
        <v>137</v>
      </c>
      <c r="S31" s="38">
        <f>IF($K$14&lt;0%,"-",IF($K$15=$AI$2,'24 мес'!C29,'24 мес (аннуитет)'!C29))</f>
        <v>34.867040945091674</v>
      </c>
      <c r="T31" s="38">
        <f>IF($K$14&lt;0%,"-",IF($K$15=$AI$2,'24 мес'!D29+'24 мес'!E29+'24 мес'!F29,'24 мес (аннуитет)'!D29+'24 мес (аннуитет)'!E29+'24 мес (аннуитет)'!F29))</f>
        <v>31.280570851413312</v>
      </c>
      <c r="U31" s="37">
        <f>Лист1!I10+Лист1!J10</f>
        <v>68.89</v>
      </c>
      <c r="V31" s="37">
        <f>'24 мес Аннуитет'!G24</f>
        <v>66.147611796504989</v>
      </c>
      <c r="W31" s="1"/>
      <c r="X31" s="40" t="s">
        <v>137</v>
      </c>
      <c r="Y31" s="38">
        <f>IF($K$14&lt;0%,"-",IF($K$15=$AI$2,'36 мес'!C29,'36 мес (аннуитет)'!C29))</f>
        <v>17.444986230530489</v>
      </c>
      <c r="Z31" s="38">
        <f>IF($K$14&lt;0%,"-",IF($K$15=$AI$2,'36 мес'!D29+'36 мес'!E29+'36 мес'!F29,'36 мес (аннуитет)'!D29+'36 мес (аннуитет)'!E29+'36 мес (аннуитет)'!F29))</f>
        <v>36.053810739974786</v>
      </c>
      <c r="AA31" s="37">
        <f>Лист1!L10+Лист1!M10</f>
        <v>59.540000000000006</v>
      </c>
      <c r="AB31" s="37">
        <f>'36 мес Аннуитет'!G24</f>
        <v>53.498796970505275</v>
      </c>
      <c r="AC31" s="40" t="s">
        <v>137</v>
      </c>
      <c r="AD31" s="38">
        <f>IF(AND($K$14&lt;0%,$K$12="ФЛ"),"-",IF($K$15=$AI$2,'48 мес '!C30,'48 мес  (аннуитет)'!C30))</f>
        <v>9.6502923913435623</v>
      </c>
      <c r="AE31" s="38">
        <f>IF(AND($K$14&lt;0%,$K$12="ФЛ"),"-",IF($K$15=$AI$2,'48 мес '!D30+'48 мес '!E30+'48 мес '!F30,'48 мес  (аннуитет)'!D30+'48 мес  (аннуитет)'!E30+'48 мес  (аннуитет)'!F30))</f>
        <v>38.189376501987645</v>
      </c>
      <c r="AF31" s="37">
        <f t="shared" si="0"/>
        <v>47.839668893331208</v>
      </c>
      <c r="AG31" s="39"/>
      <c r="AJ31" s="4"/>
      <c r="BC31" s="3"/>
      <c r="BI31" s="1"/>
      <c r="BJ31" s="1"/>
      <c r="BK31" s="1"/>
      <c r="BL31" s="1"/>
      <c r="BM31" s="1"/>
      <c r="BN31" s="1"/>
    </row>
    <row r="32" spans="1:66" s="2" customFormat="1" ht="15.75">
      <c r="A32" s="1"/>
      <c r="B32" s="1"/>
      <c r="C32" s="1"/>
      <c r="D32" s="1"/>
      <c r="E32" s="1"/>
      <c r="F32" s="40" t="s">
        <v>138</v>
      </c>
      <c r="G32" s="36">
        <f>IF($K$14&lt;0%,"-",IF($K$15=$AI$2,'12 мес'!C29,'12 мес (аннуитет)'!C29))</f>
        <v>94.954632566055892</v>
      </c>
      <c r="H32" s="36">
        <f>IF($K$14&lt;0%,"-",IF($K$15=$AI$2,'12 мес'!D29+'12 мес'!E29+'12 мес'!F29,'12 мес (аннуитет)'!D29+'12 мес (аннуитет)'!E29+'12 мес (аннуитет)'!F29))</f>
        <v>12.113378357174433</v>
      </c>
      <c r="I32" s="41">
        <f>Лист1!C11+Лист1!D11</f>
        <v>93.539999999999992</v>
      </c>
      <c r="J32" s="41">
        <f>'12 мес Аннуитет'!G25</f>
        <v>107.06801092323033</v>
      </c>
      <c r="K32" s="1"/>
      <c r="L32" s="40" t="s">
        <v>138</v>
      </c>
      <c r="M32" s="38">
        <f>IF($K$14&lt;0%,"-",IF($K$15=$AI$2,'18 мес'!C30,'18 мес (аннуитет)'!C30))</f>
        <v>55.474887072531402</v>
      </c>
      <c r="N32" s="38">
        <f>IF($K$14&lt;0%,"-",IF($K$15=$AI$2,'18 мес'!D30+'18 мес'!E30+'18 мес'!F30,'18 мес (аннуитет)'!D30+'18 мес (аннуитет)'!E30+'18 мес (аннуитет)'!F30))</f>
        <v>24.054412537423204</v>
      </c>
      <c r="O32" s="37">
        <f>Лист1!F11+Лист1!G11</f>
        <v>75.98</v>
      </c>
      <c r="P32" s="37">
        <f>'18 мес Аннуитет'!G25</f>
        <v>79.529299609954606</v>
      </c>
      <c r="Q32" s="1"/>
      <c r="R32" s="40" t="s">
        <v>138</v>
      </c>
      <c r="S32" s="38">
        <f>IF($K$14&lt;0%,"-",IF($K$15=$AI$2,'24 мес'!C30,'24 мес (аннуитет)'!C30))</f>
        <v>36.290778450349592</v>
      </c>
      <c r="T32" s="38">
        <f>IF($K$14&lt;0%,"-",IF($K$15=$AI$2,'24 мес'!D30+'24 мес'!E30+'24 мес'!F30,'24 мес (аннуитет)'!D30+'24 мес (аннуитет)'!E30+'24 мес (аннуитет)'!F30))</f>
        <v>29.856833346155398</v>
      </c>
      <c r="U32" s="37">
        <f>Лист1!I11+Лист1!J11</f>
        <v>67.19</v>
      </c>
      <c r="V32" s="37">
        <f>'24 мес Аннуитет'!G25</f>
        <v>66.147611796504989</v>
      </c>
      <c r="W32" s="1"/>
      <c r="X32" s="40" t="s">
        <v>138</v>
      </c>
      <c r="Y32" s="38">
        <f>IF($K$14&lt;0%,"-",IF($K$15=$AI$2,'36 мес'!C30,'36 мес (аннуитет)'!C30))</f>
        <v>18.157323168277145</v>
      </c>
      <c r="Z32" s="38">
        <f>IF($K$14&lt;0%,"-",IF($K$15=$AI$2,'36 мес'!D30+'36 мес'!E30+'36 мес'!F30,'36 мес (аннуитет)'!D30+'36 мес (аннуитет)'!E30+'36 мес (аннуитет)'!F30))</f>
        <v>35.34147380222813</v>
      </c>
      <c r="AA32" s="37">
        <f>Лист1!L11+Лист1!M11</f>
        <v>58.400000000000006</v>
      </c>
      <c r="AB32" s="37">
        <f>'36 мес Аннуитет'!G25</f>
        <v>53.498796970505275</v>
      </c>
      <c r="AC32" s="40" t="s">
        <v>138</v>
      </c>
      <c r="AD32" s="38">
        <f>IF(AND($K$14&lt;0%,$K$12="ФЛ"),"-",IF($K$15=$AI$2,'48 мес '!C31,'48 мес  (аннуитет)'!C31))</f>
        <v>10.044345997323425</v>
      </c>
      <c r="AE32" s="38">
        <f>IF(AND($K$14&lt;0%,$K$12="ФЛ"),"-",IF($K$15=$AI$2,'48 мес '!D31+'48 мес '!E31+'48 мес '!F31,'48 мес  (аннуитет)'!D31+'48 мес  (аннуитет)'!E31+'48 мес  (аннуитет)'!F31))</f>
        <v>37.795322896007782</v>
      </c>
      <c r="AF32" s="37">
        <f t="shared" si="0"/>
        <v>47.839668893331208</v>
      </c>
      <c r="AG32" s="39"/>
      <c r="AJ32" s="4"/>
      <c r="BC32" s="3"/>
      <c r="BI32" s="1"/>
      <c r="BJ32" s="1"/>
      <c r="BK32" s="1"/>
      <c r="BL32" s="1"/>
      <c r="BM32" s="1"/>
      <c r="BN32" s="1"/>
    </row>
    <row r="33" spans="1:66" s="2" customFormat="1" ht="15.75">
      <c r="A33" s="1"/>
      <c r="B33" s="1"/>
      <c r="C33" s="1"/>
      <c r="D33" s="1"/>
      <c r="E33" s="1"/>
      <c r="F33" s="40" t="s">
        <v>139</v>
      </c>
      <c r="G33" s="36">
        <f>IF($K$14&lt;0%,"-",IF($K$15=$AI$2,'12 мес'!C30,'12 мес (аннуитет)'!C30))</f>
        <v>98.831946729169843</v>
      </c>
      <c r="H33" s="36">
        <f>IF($K$14&lt;0%,"-",IF($K$15=$AI$2,'12 мес'!D30+'12 мес'!E30+'12 мес'!F30,'12 мес (аннуитет)'!D30+'12 мес (аннуитет)'!E30+'12 мес (аннуитет)'!F30))</f>
        <v>8.236064194060484</v>
      </c>
      <c r="I33" s="41">
        <f>Лист1!C12+Лист1!D12</f>
        <v>90.14</v>
      </c>
      <c r="J33" s="41">
        <f>'12 мес Аннуитет'!G26</f>
        <v>107.06801092323033</v>
      </c>
      <c r="K33" s="1"/>
      <c r="L33" s="40" t="s">
        <v>139</v>
      </c>
      <c r="M33" s="38">
        <f>IF($K$14&lt;0%,"-",IF($K$15=$AI$2,'18 мес'!C31,'18 мес (аннуитет)'!C31))</f>
        <v>57.740111627993102</v>
      </c>
      <c r="N33" s="38">
        <f>IF($K$14&lt;0%,"-",IF($K$15=$AI$2,'18 мес'!D31+'18 мес'!E31+'18 мес'!F31,'18 мес (аннуитет)'!D31+'18 мес (аннуитет)'!E31+'18 мес (аннуитет)'!F31))</f>
        <v>21.789187981961508</v>
      </c>
      <c r="O33" s="37">
        <f>Лист1!F12+Лист1!G12</f>
        <v>73.710000000000008</v>
      </c>
      <c r="P33" s="37">
        <f>'18 мес Аннуитет'!G26</f>
        <v>79.529299609954606</v>
      </c>
      <c r="Q33" s="1"/>
      <c r="R33" s="40" t="s">
        <v>139</v>
      </c>
      <c r="S33" s="38">
        <f>IF($K$14&lt;0%,"-",IF($K$15=$AI$2,'24 мес'!C31,'24 мес (аннуитет)'!C31))</f>
        <v>37.772651903738861</v>
      </c>
      <c r="T33" s="38">
        <f>IF($K$14&lt;0%,"-",IF($K$15=$AI$2,'24 мес'!D31+'24 мес'!E31+'24 мес'!F31,'24 мес (аннуитет)'!D31+'24 мес (аннуитет)'!E31+'24 мес (аннуитет)'!F31))</f>
        <v>28.374959892766125</v>
      </c>
      <c r="U33" s="37">
        <f>Лист1!I12+Лист1!J12</f>
        <v>65.490000000000009</v>
      </c>
      <c r="V33" s="37">
        <f>'24 мес Аннуитет'!G26</f>
        <v>66.147611796504989</v>
      </c>
      <c r="W33" s="1"/>
      <c r="X33" s="40" t="s">
        <v>139</v>
      </c>
      <c r="Y33" s="38">
        <f>IF($K$14&lt;0%,"-",IF($K$15=$AI$2,'36 мес'!C31,'36 мес (аннуитет)'!C31))</f>
        <v>18.898747197648461</v>
      </c>
      <c r="Z33" s="38">
        <f>IF($K$14&lt;0%,"-",IF($K$15=$AI$2,'36 мес'!D31+'36 мес'!E31+'36 мес'!F31,'36 мес (аннуитет)'!D31+'36 мес (аннуитет)'!E31+'36 мес (аннуитет)'!F31))</f>
        <v>34.600049772856813</v>
      </c>
      <c r="AA33" s="37">
        <f>Лист1!L12+Лист1!M12</f>
        <v>57.269999999999996</v>
      </c>
      <c r="AB33" s="37">
        <f>'36 мес Аннуитет'!G26</f>
        <v>53.498796970505275</v>
      </c>
      <c r="AC33" s="40" t="s">
        <v>139</v>
      </c>
      <c r="AD33" s="38">
        <f>IF(AND($K$14&lt;0%,$K$12="ФЛ"),"-",IF($K$15=$AI$2,'48 мес '!C32,'48 мес  (аннуитет)'!C32))</f>
        <v>10.454490125547466</v>
      </c>
      <c r="AE33" s="38">
        <f>IF(AND($K$14&lt;0%,$K$12="ФЛ"),"-",IF($K$15=$AI$2,'48 мес '!D32+'48 мес '!E32+'48 мес '!F32,'48 мес  (аннуитет)'!D32+'48 мес  (аннуитет)'!E32+'48 мес  (аннуитет)'!F32))</f>
        <v>37.385178767783742</v>
      </c>
      <c r="AF33" s="37">
        <f t="shared" si="0"/>
        <v>47.839668893331208</v>
      </c>
      <c r="AG33" s="39"/>
      <c r="AJ33" s="4"/>
      <c r="BC33" s="3"/>
      <c r="BI33" s="1"/>
      <c r="BJ33" s="1"/>
      <c r="BK33" s="1"/>
      <c r="BL33" s="1"/>
      <c r="BM33" s="1"/>
      <c r="BN33" s="1"/>
    </row>
    <row r="34" spans="1:66" s="2" customFormat="1" ht="15.75" customHeight="1">
      <c r="A34" s="1"/>
      <c r="B34" s="1"/>
      <c r="C34" s="1"/>
      <c r="D34" s="1"/>
      <c r="E34" s="1"/>
      <c r="F34" s="243" t="s">
        <v>140</v>
      </c>
      <c r="G34" s="36">
        <f>IF($K$14&lt;0%,"-",IF($K$15=$AI$2,'12 мес'!C31,'12 мес (аннуитет)'!C31))</f>
        <v>102.86758455394404</v>
      </c>
      <c r="H34" s="36">
        <f>IF($K$14&lt;0%,"-",IF($K$15=$AI$2,'12 мес'!D31+'12 мес'!E31+'12 мес'!F31,'12 мес (аннуитет)'!D31+'12 мес (аннуитет)'!E31+'12 мес (аннуитет)'!F31))</f>
        <v>4.2004263692860482</v>
      </c>
      <c r="I34" s="41">
        <f>Лист1!C13+Лист1!D13</f>
        <v>86.769999999999897</v>
      </c>
      <c r="J34" s="41">
        <f>'12 мес Аннуитет'!G27</f>
        <v>107.06801092323009</v>
      </c>
      <c r="K34" s="1"/>
      <c r="L34" s="40" t="s">
        <v>141</v>
      </c>
      <c r="M34" s="38">
        <f>IF($K$14&lt;0%,"-",IF($K$15=$AI$2,'18 мес'!C32,'18 мес (аннуитет)'!C32))</f>
        <v>60.09783285280281</v>
      </c>
      <c r="N34" s="38">
        <f>IF($K$14&lt;0%,"-",IF($K$15=$AI$2,'18 мес'!D32+'18 мес'!E32+'18 мес'!F32,'18 мес (аннуитет)'!D32+'18 мес (аннуитет)'!E32+'18 мес (аннуитет)'!F32))</f>
        <v>19.431466757151792</v>
      </c>
      <c r="O34" s="37">
        <f>Лист1!F13+Лист1!G13</f>
        <v>71.44</v>
      </c>
      <c r="P34" s="37">
        <f>'18 мес Аннуитет'!G27</f>
        <v>79.529299609954606</v>
      </c>
      <c r="Q34" s="1"/>
      <c r="R34" s="40" t="s">
        <v>141</v>
      </c>
      <c r="S34" s="38">
        <f>IF($K$14&lt;0%,"-",IF($K$15=$AI$2,'24 мес'!C32,'24 мес (аннуитет)'!C32))</f>
        <v>39.315035189808199</v>
      </c>
      <c r="T34" s="38">
        <f>IF($K$14&lt;0%,"-",IF($K$15=$AI$2,'24 мес'!D32+'24 мес'!E32+'24 мес'!F32,'24 мес (аннуитет)'!D32+'24 мес (аннуитет)'!E32+'24 мес (аннуитет)'!F32))</f>
        <v>26.83257660669679</v>
      </c>
      <c r="U34" s="37">
        <f>Лист1!I13+Лист1!J13</f>
        <v>63.790000000000006</v>
      </c>
      <c r="V34" s="37">
        <f>'24 мес Аннуитет'!G27</f>
        <v>66.147611796504989</v>
      </c>
      <c r="W34" s="1"/>
      <c r="X34" s="40" t="s">
        <v>141</v>
      </c>
      <c r="Y34" s="38">
        <f>IF($K$14&lt;0%,"-",IF($K$15=$AI$2,'36 мес'!C32,'36 мес (аннуитет)'!C32))</f>
        <v>19.670446041552445</v>
      </c>
      <c r="Z34" s="38">
        <f>IF($K$14&lt;0%,"-",IF($K$15=$AI$2,'36 мес'!D32+'36 мес'!E32+'36 мес'!F32,'36 мес (аннуитет)'!D32+'36 мес (аннуитет)'!E32+'36 мес (аннуитет)'!F32))</f>
        <v>33.82835092895283</v>
      </c>
      <c r="AA34" s="37">
        <f>Лист1!L13+Лист1!M13</f>
        <v>56.14</v>
      </c>
      <c r="AB34" s="37">
        <f>'36 мес Аннуитет'!G27</f>
        <v>53.498796970505275</v>
      </c>
      <c r="AC34" s="40" t="s">
        <v>141</v>
      </c>
      <c r="AD34" s="38">
        <f>IF(AND($K$14&lt;0%,$K$12="ФЛ"),"-",IF($K$15=$AI$2,'48 мес '!C33,'48 мес  (аннуитет)'!C33))</f>
        <v>10.881381805673989</v>
      </c>
      <c r="AE34" s="38">
        <f>IF(AND($K$14&lt;0%,$K$12="ФЛ"),"-",IF($K$15=$AI$2,'48 мес '!D33+'48 мес '!E33+'48 мес '!F33,'48 мес  (аннуитет)'!D33+'48 мес  (аннуитет)'!E33+'48 мес  (аннуитет)'!F33))</f>
        <v>36.958287087657219</v>
      </c>
      <c r="AF34" s="37">
        <f t="shared" si="0"/>
        <v>47.839668893331208</v>
      </c>
      <c r="AG34" s="39"/>
      <c r="AJ34" s="4"/>
      <c r="BC34" s="3"/>
      <c r="BI34" s="1"/>
      <c r="BJ34" s="1"/>
      <c r="BK34" s="1"/>
      <c r="BL34" s="1"/>
      <c r="BM34" s="1"/>
      <c r="BN34" s="1"/>
    </row>
    <row r="35" spans="1:66" s="2" customFormat="1" ht="15.75">
      <c r="A35" s="1"/>
      <c r="B35" s="1"/>
      <c r="C35" s="1"/>
      <c r="D35" s="1"/>
      <c r="E35" s="1"/>
      <c r="F35" s="244"/>
      <c r="G35" s="42"/>
      <c r="H35" s="43"/>
      <c r="I35" s="41">
        <f>'12 мес'!H32</f>
        <v>0</v>
      </c>
      <c r="J35" s="41">
        <f>'12 мес Аннуитет'!G28</f>
        <v>0</v>
      </c>
      <c r="K35" s="1"/>
      <c r="L35" s="40" t="s">
        <v>142</v>
      </c>
      <c r="M35" s="38">
        <f>IF($K$14&lt;0%,"-",IF($K$15=$AI$2,'18 мес'!C33,'18 мес (аннуитет)'!C33))</f>
        <v>62.551827694292264</v>
      </c>
      <c r="N35" s="38">
        <f>IF($K$14&lt;0%,"-",IF($K$15=$AI$2,'18 мес'!D33+'18 мес'!E33+'18 мес'!F33,'18 мес (аннуитет)'!D33+'18 мес (аннуитет)'!E33+'18 мес (аннуитет)'!F33))</f>
        <v>16.977471915662342</v>
      </c>
      <c r="O35" s="37">
        <f>Лист1!F14+Лист1!G14</f>
        <v>69.17</v>
      </c>
      <c r="P35" s="37">
        <f>'18 мес Аннуитет'!G28</f>
        <v>79.529299609954606</v>
      </c>
      <c r="Q35" s="1"/>
      <c r="R35" s="40" t="s">
        <v>142</v>
      </c>
      <c r="S35" s="38">
        <f>IF($K$14&lt;0%,"-",IF($K$15=$AI$2,'24 мес'!C33,'24 мес (аннуитет)'!C33))</f>
        <v>40.920399126725371</v>
      </c>
      <c r="T35" s="38">
        <f>IF($K$14&lt;0%,"-",IF($K$15=$AI$2,'24 мес'!D33+'24 мес'!E33+'24 мес'!F33,'24 мес (аннуитет)'!D33+'24 мес (аннуитет)'!E33+'24 мес (аннуитет)'!F33))</f>
        <v>25.227212669779618</v>
      </c>
      <c r="U35" s="37">
        <f>Лист1!I14+Лист1!J14</f>
        <v>62.09</v>
      </c>
      <c r="V35" s="37">
        <f>'24 мес Аннуитет'!G28</f>
        <v>66.147611796504989</v>
      </c>
      <c r="W35" s="1"/>
      <c r="X35" s="40" t="s">
        <v>142</v>
      </c>
      <c r="Y35" s="38">
        <f>IF($K$14&lt;0%,"-",IF($K$15=$AI$2,'36 мес'!C33,'36 мес (аннуитет)'!C33))</f>
        <v>20.473655921582498</v>
      </c>
      <c r="Z35" s="38">
        <f>IF($K$14&lt;0%,"-",IF($K$15=$AI$2,'36 мес'!D33+'36 мес'!E33+'36 мес'!F33,'36 мес (аннуитет)'!D33+'36 мес (аннуитет)'!E33+'36 мес (аннуитет)'!F33))</f>
        <v>33.025141048922777</v>
      </c>
      <c r="AA35" s="37">
        <f>Лист1!L14+Лист1!M14</f>
        <v>55</v>
      </c>
      <c r="AB35" s="37">
        <f>'36 мес Аннуитет'!G28</f>
        <v>53.498796970505275</v>
      </c>
      <c r="AC35" s="40" t="s">
        <v>142</v>
      </c>
      <c r="AD35" s="38">
        <f>IF(AND($K$14&lt;0%,$K$12="ФЛ"),"-",IF($K$15=$AI$2,'48 мес '!C34,'48 мес  (аннуитет)'!C34))</f>
        <v>11.325704896072345</v>
      </c>
      <c r="AE35" s="38">
        <f>IF(AND($K$14&lt;0%,$K$12="ФЛ"),"-",IF($K$15=$AI$2,'48 мес '!D34+'48 мес '!E34+'48 мес '!F34,'48 мес  (аннуитет)'!D34+'48 мес  (аннуитет)'!E34+'48 мес  (аннуитет)'!F34))</f>
        <v>36.513963997258863</v>
      </c>
      <c r="AF35" s="37">
        <f t="shared" si="0"/>
        <v>47.839668893331208</v>
      </c>
      <c r="AG35" s="39"/>
      <c r="AJ35" s="4"/>
      <c r="BC35" s="3"/>
      <c r="BI35" s="1"/>
      <c r="BJ35" s="1"/>
      <c r="BK35" s="1"/>
      <c r="BL35" s="1"/>
      <c r="BM35" s="1"/>
      <c r="BN35" s="1"/>
    </row>
    <row r="36" spans="1:66" s="2" customFormat="1" ht="15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40" t="s">
        <v>143</v>
      </c>
      <c r="M36" s="38">
        <f>IF($K$14&lt;0%,"-",IF($K$15=$AI$2,'18 мес'!C34,'18 мес (аннуитет)'!C34))</f>
        <v>65.106027325142534</v>
      </c>
      <c r="N36" s="38">
        <f>IF($K$14&lt;0%,"-",IF($K$15=$AI$2,'18 мес'!D34+'18 мес'!E34+'18 мес'!F34,'18 мес (аннуитет)'!D34+'18 мес (аннуитет)'!E34+'18 мес (аннуитет)'!F34))</f>
        <v>14.423272284812073</v>
      </c>
      <c r="O36" s="37">
        <f>Лист1!F15+Лист1!G15</f>
        <v>66.900000000000006</v>
      </c>
      <c r="P36" s="37">
        <f>'18 мес Аннуитет'!G29</f>
        <v>79.529299609954606</v>
      </c>
      <c r="Q36" s="1"/>
      <c r="R36" s="40" t="s">
        <v>143</v>
      </c>
      <c r="S36" s="38">
        <f>IF($K$14&lt;0%,"-",IF($K$15=$AI$2,'24 мес'!C34,'24 мес (аннуитет)'!C34))</f>
        <v>42.591315424399994</v>
      </c>
      <c r="T36" s="38">
        <f>IF($K$14&lt;0%,"-",IF($K$15=$AI$2,'24 мес'!D34+'24 мес'!E34+'24 мес'!F34,'24 мес (аннуитет)'!D34+'24 мес (аннуитет)'!E34+'24 мес (аннуитет)'!F34))</f>
        <v>23.556296372104999</v>
      </c>
      <c r="U36" s="37">
        <f>Лист1!I15+Лист1!J15</f>
        <v>60.38</v>
      </c>
      <c r="V36" s="37">
        <f>'24 мес Аннуитет'!G29</f>
        <v>66.147611796504989</v>
      </c>
      <c r="W36" s="1"/>
      <c r="X36" s="40" t="s">
        <v>143</v>
      </c>
      <c r="Y36" s="38">
        <f>IF($K$14&lt;0%,"-",IF($K$15=$AI$2,'36 мес'!C34,'36 мес (аннуитет)'!C34))</f>
        <v>21.309663538380448</v>
      </c>
      <c r="Z36" s="38">
        <f>IF($K$14&lt;0%,"-",IF($K$15=$AI$2,'36 мес'!D34+'36 мес'!E34+'36 мес'!F34,'36 мес (аннуитет)'!D34+'36 мес (аннуитет)'!E34+'36 мес (аннуитет)'!F34))</f>
        <v>32.189133432124827</v>
      </c>
      <c r="AA36" s="37">
        <f>Лист1!L15+Лист1!M15</f>
        <v>53.870000000000005</v>
      </c>
      <c r="AB36" s="37">
        <f>'36 мес Аннуитет'!G29</f>
        <v>53.498796970505275</v>
      </c>
      <c r="AC36" s="40" t="s">
        <v>143</v>
      </c>
      <c r="AD36" s="38">
        <f>IF(AND($K$14&lt;0%,$K$12="ФЛ"),"-",IF($K$15=$AI$2,'48 мес '!C35,'48 мес  (аннуитет)'!C35))</f>
        <v>11.788171179328629</v>
      </c>
      <c r="AE36" s="38">
        <f>IF(AND($K$14&lt;0%,$K$12="ФЛ"),"-",IF($K$15=$AI$2,'48 мес '!D35+'48 мес '!E35+'48 мес '!F35,'48 мес  (аннуитет)'!D35+'48 мес  (аннуитет)'!E35+'48 мес  (аннуитет)'!F35))</f>
        <v>36.051497714002579</v>
      </c>
      <c r="AF36" s="37">
        <f t="shared" si="0"/>
        <v>47.839668893331208</v>
      </c>
      <c r="AG36" s="39"/>
      <c r="AJ36" s="4"/>
      <c r="BC36" s="3"/>
      <c r="BI36" s="1"/>
      <c r="BJ36" s="1"/>
      <c r="BK36" s="1"/>
      <c r="BL36" s="1"/>
      <c r="BM36" s="1"/>
      <c r="BN36" s="1"/>
    </row>
    <row r="37" spans="1:66" s="2" customFormat="1" ht="15.75">
      <c r="A37" s="1"/>
      <c r="B37" s="1"/>
      <c r="C37" s="1"/>
      <c r="D37" s="1"/>
      <c r="E37" s="1"/>
      <c r="F37" s="44"/>
      <c r="G37" s="45"/>
      <c r="H37" s="46"/>
      <c r="I37" s="47"/>
      <c r="J37" s="47"/>
      <c r="K37" s="1"/>
      <c r="L37" s="40" t="s">
        <v>144</v>
      </c>
      <c r="M37" s="38">
        <f>IF($K$14&lt;0%,"-",IF($K$15=$AI$2,'18 мес'!C35,'18 мес (аннуитет)'!C35))</f>
        <v>67.764523440919191</v>
      </c>
      <c r="N37" s="38">
        <f>IF($K$14&lt;0%,"-",IF($K$15=$AI$2,'18 мес'!D35+'18 мес'!E35+'18 мес'!F35,'18 мес (аннуитет)'!D35+'18 мес (аннуитет)'!E35+'18 мес (аннуитет)'!F35))</f>
        <v>11.764776169035422</v>
      </c>
      <c r="O37" s="37">
        <f>Лист1!F16+Лист1!G16</f>
        <v>64.63</v>
      </c>
      <c r="P37" s="37">
        <f>'18 мес Аннуитет'!G30</f>
        <v>79.52929960995462</v>
      </c>
      <c r="Q37" s="39"/>
      <c r="R37" s="40" t="s">
        <v>144</v>
      </c>
      <c r="S37" s="38">
        <f>IF($K$14&lt;0%,"-",IF($K$15=$AI$2,'24 мес'!C35,'24 мес (аннуитет)'!C35))</f>
        <v>44.330460804229659</v>
      </c>
      <c r="T37" s="38">
        <f>IF($K$14&lt;0%,"-",IF($K$15=$AI$2,'24 мес'!D35+'24 мес'!E35+'24 мес'!F35,'24 мес (аннуитет)'!D35+'24 мес (аннуитет)'!E35+'24 мес (аннуитет)'!F35))</f>
        <v>21.817150992275334</v>
      </c>
      <c r="U37" s="37">
        <f>Лист1!I16+Лист1!J16</f>
        <v>58.680000000000007</v>
      </c>
      <c r="V37" s="37">
        <f>'24 мес Аннуитет'!G30</f>
        <v>66.147611796504989</v>
      </c>
      <c r="W37" s="1"/>
      <c r="X37" s="40" t="s">
        <v>144</v>
      </c>
      <c r="Y37" s="38">
        <f>IF($K$14&lt;0%,"-",IF($K$15=$AI$2,'36 мес'!C35,'36 мес (аннуитет)'!C35))</f>
        <v>22.17980813286432</v>
      </c>
      <c r="Z37" s="38">
        <f>IF($K$14&lt;0%,"-",IF($K$15=$AI$2,'36 мес'!D35+'36 мес'!E35+'36 мес'!F35,'36 мес (аннуитет)'!D35+'36 мес (аннуитет)'!E35+'36 мес (аннуитет)'!F35))</f>
        <v>31.318988837640955</v>
      </c>
      <c r="AA37" s="37">
        <f>Лист1!L16+Лист1!M16</f>
        <v>52.730000000000004</v>
      </c>
      <c r="AB37" s="37">
        <f>'36 мес Аннуитет'!G30</f>
        <v>53.498796970505275</v>
      </c>
      <c r="AC37" s="40" t="s">
        <v>144</v>
      </c>
      <c r="AD37" s="38">
        <f>IF(AND($K$14&lt;0%,$K$12="ФЛ"),"-",IF($K$15=$AI$2,'48 мес '!C36,'48 мес  (аннуитет)'!C36))</f>
        <v>12.269521502484544</v>
      </c>
      <c r="AE37" s="38">
        <f>IF(AND($K$14&lt;0%,$K$12="ФЛ"),"-",IF($K$15=$AI$2,'48 мес '!D36+'48 мес '!E36+'48 мес '!F36,'48 мес  (аннуитет)'!D36+'48 мес  (аннуитет)'!E36+'48 мес  (аннуитет)'!F36))</f>
        <v>35.570147390846664</v>
      </c>
      <c r="AF37" s="37">
        <f t="shared" si="0"/>
        <v>47.839668893331208</v>
      </c>
      <c r="AG37" s="39"/>
      <c r="AJ37" s="4"/>
      <c r="BC37" s="3"/>
      <c r="BI37" s="1"/>
      <c r="BJ37" s="1"/>
      <c r="BK37" s="1"/>
      <c r="BL37" s="1"/>
      <c r="BM37" s="1"/>
      <c r="BN37" s="1"/>
    </row>
    <row r="38" spans="1:66" s="2" customFormat="1" ht="15.75">
      <c r="A38" s="1"/>
      <c r="B38" s="1"/>
      <c r="C38" s="1"/>
      <c r="D38" s="1"/>
      <c r="E38" s="1"/>
      <c r="F38" s="44"/>
      <c r="G38" s="48"/>
      <c r="H38" s="49"/>
      <c r="I38" s="47"/>
      <c r="J38" s="47"/>
      <c r="K38" s="1"/>
      <c r="L38" s="40" t="s">
        <v>145</v>
      </c>
      <c r="M38" s="38">
        <f>IF($K$14&lt;0%,"-",IF($K$15=$AI$2,'18 мес'!C36,'18 мес (аннуитет)'!C36))</f>
        <v>70.531574814756723</v>
      </c>
      <c r="N38" s="38">
        <f>IF($K$14&lt;0%,"-",IF($K$15=$AI$2,'18 мес'!D36+'18 мес'!E36+'18 мес'!F36,'18 мес (аннуитет)'!D36+'18 мес (аннуитет)'!E36+'18 мес (аннуитет)'!F36))</f>
        <v>8.9977247951978878</v>
      </c>
      <c r="O38" s="37">
        <f>Лист1!F17+Лист1!G17</f>
        <v>62.36</v>
      </c>
      <c r="P38" s="37">
        <f>'18 мес Аннуитет'!G31</f>
        <v>79.529299609954606</v>
      </c>
      <c r="Q38" s="1"/>
      <c r="R38" s="40" t="s">
        <v>145</v>
      </c>
      <c r="S38" s="38">
        <f>IF($K$14&lt;0%,"-",IF($K$15=$AI$2,'24 мес'!C36,'24 мес (аннуитет)'!C36))</f>
        <v>46.140621287069038</v>
      </c>
      <c r="T38" s="38">
        <f>IF($K$14&lt;0%,"-",IF($K$15=$AI$2,'24 мес'!D36+'24 мес'!E36+'24 мес'!F36,'24 мес (аннуитет)'!D36+'24 мес (аннуитет)'!E36+'24 мес (аннуитет)'!F36))</f>
        <v>20.006990509435955</v>
      </c>
      <c r="U38" s="37">
        <f>Лист1!I17+Лист1!J17</f>
        <v>56.980000000000004</v>
      </c>
      <c r="V38" s="37">
        <f>'24 мес Аннуитет'!G31</f>
        <v>66.147611796504989</v>
      </c>
      <c r="W38" s="1"/>
      <c r="X38" s="40" t="s">
        <v>145</v>
      </c>
      <c r="Y38" s="38">
        <f>IF($K$14&lt;0%,"-",IF($K$15=$AI$2,'36 мес'!C36,'36 мес (аннуитет)'!C36))</f>
        <v>23.085483631622946</v>
      </c>
      <c r="Z38" s="38">
        <f>IF($K$14&lt;0%,"-",IF($K$15=$AI$2,'36 мес'!D36+'36 мес'!E36+'36 мес'!F36,'36 мес (аннуитет)'!D36+'36 мес (аннуитет)'!E36+'36 мес (аннуитет)'!F36))</f>
        <v>30.413313338882329</v>
      </c>
      <c r="AA38" s="37">
        <f>Лист1!L17+Лист1!M17</f>
        <v>51.6</v>
      </c>
      <c r="AB38" s="37">
        <f>'36 мес Аннуитет'!G31</f>
        <v>53.498796970505275</v>
      </c>
      <c r="AC38" s="40" t="s">
        <v>145</v>
      </c>
      <c r="AD38" s="38">
        <f>IF(AND($K$14&lt;0%,$K$12="ФЛ"),"-",IF($K$15=$AI$2,'48 мес '!C37,'48 мес  (аннуитет)'!C37))</f>
        <v>12.770526963835998</v>
      </c>
      <c r="AE38" s="38">
        <f>IF(AND($K$14&lt;0%,$K$12="ФЛ"),"-",IF($K$15=$AI$2,'48 мес '!D37+'48 мес '!E37+'48 мес '!F37,'48 мес  (аннуитет)'!D37+'48 мес  (аннуитет)'!E37+'48 мес  (аннуитет)'!F37))</f>
        <v>35.06914192949521</v>
      </c>
      <c r="AF38" s="37">
        <f t="shared" si="0"/>
        <v>47.839668893331208</v>
      </c>
      <c r="AG38" s="39"/>
      <c r="AJ38" s="4"/>
      <c r="BC38" s="3"/>
      <c r="BI38" s="1"/>
      <c r="BJ38" s="1"/>
      <c r="BK38" s="1"/>
      <c r="BL38" s="1"/>
      <c r="BM38" s="1"/>
      <c r="BN38" s="1"/>
    </row>
    <row r="39" spans="1:66" s="2" customFormat="1" ht="15.75">
      <c r="A39" s="1"/>
      <c r="B39" s="1"/>
      <c r="C39" s="1"/>
      <c r="D39" s="1"/>
      <c r="E39" s="1"/>
      <c r="F39" s="50"/>
      <c r="G39" s="45"/>
      <c r="H39" s="46"/>
      <c r="I39" s="39"/>
      <c r="J39" s="39"/>
      <c r="K39" s="1"/>
      <c r="L39" s="40" t="s">
        <v>146</v>
      </c>
      <c r="M39" s="38">
        <f>IF($K$14&lt;0%,"-",IF($K$15=$AI$2,'18 мес'!C37,'18 мес (аннуитет)'!C37))</f>
        <v>73.411614119692615</v>
      </c>
      <c r="N39" s="38">
        <f>IF($K$14&lt;0%,"-",IF($K$15=$AI$2,'18 мес'!D37+'18 мес'!E37+'18 мес'!F37,'18 мес (аннуитет)'!D37+'18 мес (аннуитет)'!E37+'18 мес (аннуитет)'!F37))</f>
        <v>6.1176854902619873</v>
      </c>
      <c r="O39" s="37">
        <f>Лист1!F18+Лист1!G18</f>
        <v>60.09</v>
      </c>
      <c r="P39" s="37">
        <f>'18 мес Аннуитет'!G32</f>
        <v>79.529299609954606</v>
      </c>
      <c r="Q39" s="39"/>
      <c r="R39" s="40" t="s">
        <v>146</v>
      </c>
      <c r="S39" s="38">
        <f>IF($K$14&lt;0%,"-",IF($K$15=$AI$2,'24 мес'!C37,'24 мес (аннуитет)'!C37))</f>
        <v>48.02469665629102</v>
      </c>
      <c r="T39" s="38">
        <f>IF($K$14&lt;0%,"-",IF($K$15=$AI$2,'24 мес'!D37+'24 мес'!E37+'24 мес'!F37,'24 мес (аннуитет)'!D37+'24 мес (аннуитет)'!E37+'24 мес (аннуитет)'!F37))</f>
        <v>18.122915140213969</v>
      </c>
      <c r="U39" s="37">
        <f>Лист1!I18+Лист1!J18</f>
        <v>55.28</v>
      </c>
      <c r="V39" s="37">
        <f>'24 мес Аннуитет'!G32</f>
        <v>66.147611796504989</v>
      </c>
      <c r="W39" s="1"/>
      <c r="X39" s="40" t="s">
        <v>146</v>
      </c>
      <c r="Y39" s="38">
        <f>IF($K$14&lt;0%,"-",IF($K$15=$AI$2,'36 мес'!C37,'36 мес (аннуитет)'!C37))</f>
        <v>24.028140879914222</v>
      </c>
      <c r="Z39" s="38">
        <f>IF($K$14&lt;0%,"-",IF($K$15=$AI$2,'36 мес'!D37+'36 мес'!E37+'36 мес'!F37,'36 мес (аннуитет)'!D37+'36 мес (аннуитет)'!E37+'36 мес (аннуитет)'!F37))</f>
        <v>29.470656090591053</v>
      </c>
      <c r="AA39" s="37">
        <f>Лист1!L18+Лист1!M18</f>
        <v>50.46</v>
      </c>
      <c r="AB39" s="37">
        <f>'36 мес Аннуитет'!G32</f>
        <v>53.498796970505275</v>
      </c>
      <c r="AC39" s="40" t="s">
        <v>146</v>
      </c>
      <c r="AD39" s="38">
        <f>IF(AND($K$14&lt;0%,$K$12="ФЛ"),"-",IF($K$15=$AI$2,'48 мес '!C38,'48 мес  (аннуитет)'!C38))</f>
        <v>13.291990148192632</v>
      </c>
      <c r="AE39" s="38">
        <f>IF(AND($K$14&lt;0%,$K$12="ФЛ"),"-",IF($K$15=$AI$2,'48 мес '!D38+'48 мес '!E38+'48 мес '!F38,'48 мес  (аннуитет)'!D38+'48 мес  (аннуитет)'!E38+'48 мес  (аннуитет)'!F38))</f>
        <v>34.547678745138576</v>
      </c>
      <c r="AF39" s="37">
        <f t="shared" si="0"/>
        <v>47.839668893331208</v>
      </c>
      <c r="AG39" s="39"/>
      <c r="AJ39" s="4"/>
      <c r="BC39" s="3"/>
      <c r="BI39" s="1"/>
      <c r="BJ39" s="1"/>
      <c r="BK39" s="1"/>
      <c r="BL39" s="1"/>
      <c r="BM39" s="1"/>
      <c r="BN39" s="1"/>
    </row>
    <row r="40" spans="1:66" s="2" customFormat="1" ht="15.75">
      <c r="A40" s="1"/>
      <c r="B40" s="1"/>
      <c r="C40" s="1"/>
      <c r="D40" s="1"/>
      <c r="E40" s="1"/>
      <c r="F40" s="50"/>
      <c r="G40" s="45"/>
      <c r="H40" s="46"/>
      <c r="I40" s="39"/>
      <c r="J40" s="39"/>
      <c r="K40" s="1"/>
      <c r="L40" s="243" t="s">
        <v>147</v>
      </c>
      <c r="M40" s="38">
        <f>IF($K$14&lt;0%,"-",IF($K$15=$AI$2,'18 мес'!C38,'18 мес (аннуитет)'!C38))</f>
        <v>76.409255029580066</v>
      </c>
      <c r="N40" s="38">
        <f>IF($K$14&lt;0%,"-",IF($K$15=$AI$2,'18 мес'!D38+'18 мес'!E38+'18 мес'!F38,'18 мес (аннуитет)'!D38+'18 мес (аннуитет)'!E38+'18 мес (аннуитет)'!F38))</f>
        <v>3.1200445803745391</v>
      </c>
      <c r="O40" s="37">
        <f>Лист1!F19+Лист1!G19</f>
        <v>57.750000000000249</v>
      </c>
      <c r="P40" s="37">
        <f>'18 мес Аннуитет'!G33</f>
        <v>79.529299609954606</v>
      </c>
      <c r="Q40" s="39"/>
      <c r="R40" s="40" t="s">
        <v>148</v>
      </c>
      <c r="S40" s="38">
        <f>IF($K$14&lt;0%,"-",IF($K$15=$AI$2,'24 мес'!C38,'24 мес (аннуитет)'!C38))</f>
        <v>49.985705103089572</v>
      </c>
      <c r="T40" s="38">
        <f>IF($K$14&lt;0%,"-",IF($K$15=$AI$2,'24 мес'!D38+'24 мес'!E38+'24 мес'!F38,'24 мес (аннуитет)'!D38+'24 мес (аннуитет)'!E38+'24 мес (аннуитет)'!F38))</f>
        <v>16.161906693415418</v>
      </c>
      <c r="U40" s="37">
        <f>Лист1!I19+Лист1!J19</f>
        <v>53.58</v>
      </c>
      <c r="V40" s="37">
        <f>'24 мес Аннуитет'!G33</f>
        <v>66.147611796504989</v>
      </c>
      <c r="W40" s="1"/>
      <c r="X40" s="40" t="s">
        <v>148</v>
      </c>
      <c r="Y40" s="38">
        <f>IF($K$14&lt;0%,"-",IF($K$15=$AI$2,'36 мес'!C38,'36 мес (аннуитет)'!C38))</f>
        <v>25.009289965844051</v>
      </c>
      <c r="Z40" s="38">
        <f>IF($K$14&lt;0%,"-",IF($K$15=$AI$2,'36 мес'!D38+'36 мес'!E38+'36 мес'!F38,'36 мес (аннуитет)'!D38+'36 мес (аннуитет)'!E38+'36 мес (аннуитет)'!F38))</f>
        <v>28.489507004661224</v>
      </c>
      <c r="AA40" s="37">
        <f>Лист1!L19+Лист1!M19</f>
        <v>49.33</v>
      </c>
      <c r="AB40" s="37">
        <f>'36 мес Аннуитет'!G33</f>
        <v>53.498796970505275</v>
      </c>
      <c r="AC40" s="40" t="s">
        <v>148</v>
      </c>
      <c r="AD40" s="38">
        <f>IF(AND($K$14&lt;0%,$K$12="ФЛ"),"-",IF($K$15=$AI$2,'48 мес '!C39,'48 мес  (аннуитет)'!C39))</f>
        <v>13.834746412577168</v>
      </c>
      <c r="AE40" s="38">
        <f>IF(AND($K$14&lt;0%,$K$12="ФЛ"),"-",IF($K$15=$AI$2,'48 мес '!D39+'48 мес '!E39+'48 мес '!F39,'48 мес  (аннуитет)'!D39+'48 мес  (аннуитет)'!E39+'48 мес  (аннуитет)'!F39))</f>
        <v>34.00492248075404</v>
      </c>
      <c r="AF40" s="37">
        <f t="shared" si="0"/>
        <v>47.839668893331208</v>
      </c>
      <c r="AG40" s="39"/>
      <c r="AJ40" s="4"/>
      <c r="BC40" s="3"/>
      <c r="BI40" s="1"/>
      <c r="BJ40" s="1"/>
      <c r="BK40" s="1"/>
      <c r="BL40" s="1"/>
      <c r="BM40" s="1"/>
      <c r="BN40" s="1"/>
    </row>
    <row r="41" spans="1:66" s="2" customFormat="1" ht="15.75" customHeight="1">
      <c r="A41" s="1"/>
      <c r="B41" s="1"/>
      <c r="C41" s="1"/>
      <c r="D41" s="1"/>
      <c r="E41" s="1"/>
      <c r="F41" s="50"/>
      <c r="G41" s="45"/>
      <c r="H41" s="46"/>
      <c r="I41" s="39"/>
      <c r="J41" s="39"/>
      <c r="K41" s="1"/>
      <c r="L41" s="244"/>
      <c r="M41" s="8"/>
      <c r="N41" s="8"/>
      <c r="O41" s="37">
        <f>'18 мес Убывающий'!G34</f>
        <v>0</v>
      </c>
      <c r="P41" s="37">
        <f>'18 мес Аннуитет'!G34</f>
        <v>0</v>
      </c>
      <c r="Q41" s="39"/>
      <c r="R41" s="40" t="s">
        <v>149</v>
      </c>
      <c r="S41" s="38">
        <f>IF($K$14&lt;0%,"-",IF($K$15=$AI$2,'24 мес'!C39,'24 мес (аннуитет)'!C39))</f>
        <v>52.02678806146573</v>
      </c>
      <c r="T41" s="38">
        <f>IF($K$14&lt;0%,"-",IF($K$15=$AI$2,'24 мес'!D39+'24 мес'!E39+'24 мес'!F39,'24 мес (аннуитет)'!D39+'24 мес (аннуитет)'!E39+'24 мес (аннуитет)'!F39))</f>
        <v>14.120823735039261</v>
      </c>
      <c r="U41" s="37">
        <f>Лист1!I20+Лист1!J20</f>
        <v>51.88</v>
      </c>
      <c r="V41" s="37">
        <f>'24 мес Аннуитет'!G34</f>
        <v>66.147611796504989</v>
      </c>
      <c r="W41" s="1"/>
      <c r="X41" s="40" t="s">
        <v>149</v>
      </c>
      <c r="Y41" s="38">
        <f>IF($K$14&lt;0%,"-",IF($K$15=$AI$2,'36 мес'!C39,'36 мес (аннуитет)'!C39))</f>
        <v>26.030502639449345</v>
      </c>
      <c r="Z41" s="38">
        <f>IF($K$14&lt;0%,"-",IF($K$15=$AI$2,'36 мес'!D39+'36 мес'!E39+'36 мес'!F39,'36 мес (аннуитет)'!D39+'36 мес (аннуитет)'!E39+'36 мес (аннуитет)'!F39))</f>
        <v>27.46829433105593</v>
      </c>
      <c r="AA41" s="37">
        <f>Лист1!L20+Лист1!M20</f>
        <v>48.2</v>
      </c>
      <c r="AB41" s="37">
        <f>'36 мес Аннуитет'!G34</f>
        <v>53.498796970505275</v>
      </c>
      <c r="AC41" s="40" t="s">
        <v>149</v>
      </c>
      <c r="AD41" s="38">
        <f>IF(AND($K$14&lt;0%,$K$12="ФЛ"),"-",IF($K$15=$AI$2,'48 мес '!C40,'48 мес  (аннуитет)'!C40))</f>
        <v>14.399665224424069</v>
      </c>
      <c r="AE41" s="38">
        <f>IF(AND($K$14&lt;0%,$K$12="ФЛ"),"-",IF($K$15=$AI$2,'48 мес '!D40+'48 мес '!E40+'48 мес '!F40,'48 мес  (аннуитет)'!D40+'48 мес  (аннуитет)'!E40+'48 мес  (аннуитет)'!F40))</f>
        <v>33.440003668907138</v>
      </c>
      <c r="AF41" s="37">
        <f t="shared" si="0"/>
        <v>47.839668893331208</v>
      </c>
      <c r="AG41" s="39"/>
      <c r="AJ41" s="4"/>
      <c r="BC41" s="3"/>
      <c r="BI41" s="1"/>
      <c r="BJ41" s="1"/>
      <c r="BK41" s="1"/>
      <c r="BL41" s="1"/>
      <c r="BM41" s="1"/>
      <c r="BN41" s="1"/>
    </row>
    <row r="42" spans="1:66" s="2" customFormat="1" ht="18.75">
      <c r="A42" s="1"/>
      <c r="B42" s="1"/>
      <c r="C42" s="1"/>
      <c r="D42" s="1"/>
      <c r="E42" s="1"/>
      <c r="F42" s="50"/>
      <c r="G42" s="45"/>
      <c r="H42" s="46"/>
      <c r="I42" s="39"/>
      <c r="J42" s="39"/>
      <c r="K42" s="1"/>
      <c r="L42" s="51"/>
      <c r="M42" s="51"/>
      <c r="N42" s="51"/>
      <c r="O42" s="51"/>
      <c r="P42" s="51"/>
      <c r="Q42" s="39"/>
      <c r="R42" s="40" t="s">
        <v>150</v>
      </c>
      <c r="S42" s="38">
        <f>IF($K$14&lt;0%,"-",IF($K$15=$AI$2,'24 мес'!C40,'24 мес (аннуитет)'!C40))</f>
        <v>54.151215240642244</v>
      </c>
      <c r="T42" s="38">
        <f>IF($K$14&lt;0%,"-",IF($K$15=$AI$2,'24 мес'!D40+'24 мес'!E40+'24 мес'!F40,'24 мес (аннуитет)'!D40+'24 мес (аннуитет)'!E40+'24 мес (аннуитет)'!F40))</f>
        <v>11.996396555862745</v>
      </c>
      <c r="U42" s="37">
        <f>Лист1!I21+Лист1!J21</f>
        <v>50.17</v>
      </c>
      <c r="V42" s="37">
        <f>'24 мес Аннуитет'!G35</f>
        <v>66.147611796504989</v>
      </c>
      <c r="W42" s="1"/>
      <c r="X42" s="40" t="s">
        <v>150</v>
      </c>
      <c r="Y42" s="38">
        <f>IF($K$14&lt;0%,"-",IF($K$15=$AI$2,'36 мес'!C40,'36 мес (аннуитет)'!C40))</f>
        <v>27.093414830560189</v>
      </c>
      <c r="Z42" s="38">
        <f>IF($K$14&lt;0%,"-",IF($K$15=$AI$2,'36 мес'!D40+'36 мес'!E40+'36 мес'!F40,'36 мес (аннуитет)'!D40+'36 мес (аннуитет)'!E40+'36 мес (аннуитет)'!F40))</f>
        <v>26.405382139945086</v>
      </c>
      <c r="AA42" s="37">
        <f>Лист1!L21+Лист1!M21</f>
        <v>47.06</v>
      </c>
      <c r="AB42" s="37">
        <f>'36 мес Аннуитет'!G35</f>
        <v>53.498796970505275</v>
      </c>
      <c r="AC42" s="40" t="s">
        <v>150</v>
      </c>
      <c r="AD42" s="38">
        <f>IF(AND($K$14&lt;0%,$K$12="ФЛ"),"-",IF($K$15=$AI$2,'48 мес '!C41,'48 мес  (аннуитет)'!C41))</f>
        <v>14.987651554421383</v>
      </c>
      <c r="AE42" s="38">
        <f>IF(AND($K$14&lt;0%,$K$12="ФЛ"),"-",IF($K$15=$AI$2,'48 мес '!D41+'48 мес '!E41+'48 мес '!F41,'48 мес  (аннуитет)'!D41+'48 мес  (аннуитет)'!E41+'48 мес  (аннуитет)'!F41))</f>
        <v>32.852017338909825</v>
      </c>
      <c r="AF42" s="37">
        <f t="shared" si="0"/>
        <v>47.839668893331208</v>
      </c>
      <c r="AG42" s="39"/>
      <c r="AJ42" s="4"/>
      <c r="BC42" s="3"/>
      <c r="BI42" s="1"/>
      <c r="BJ42" s="1"/>
      <c r="BK42" s="1"/>
      <c r="BL42" s="1"/>
      <c r="BM42" s="1"/>
      <c r="BN42" s="1"/>
    </row>
    <row r="43" spans="1:66" s="2" customFormat="1" ht="18.75">
      <c r="A43" s="1"/>
      <c r="B43" s="1"/>
      <c r="C43" s="1"/>
      <c r="D43" s="1"/>
      <c r="E43" s="1"/>
      <c r="F43" s="50"/>
      <c r="G43" s="45"/>
      <c r="H43" s="46"/>
      <c r="I43" s="39"/>
      <c r="J43" s="39"/>
      <c r="K43" s="1"/>
      <c r="L43" s="51"/>
      <c r="M43" s="51"/>
      <c r="N43" s="51"/>
      <c r="O43" s="51"/>
      <c r="P43" s="51"/>
      <c r="Q43" s="39"/>
      <c r="R43" s="40" t="s">
        <v>151</v>
      </c>
      <c r="S43" s="38">
        <f>IF($K$14&lt;0%,"-",IF($K$15=$AI$2,'24 мес'!C41,'24 мес (аннуитет)'!C41))</f>
        <v>56.36238986296847</v>
      </c>
      <c r="T43" s="38">
        <f>IF($K$14&lt;0%,"-",IF($K$15=$AI$2,'24 мес'!D41+'24 мес'!E41+'24 мес'!F41,'24 мес (аннуитет)'!D41+'24 мес (аннуитет)'!E41+'24 мес (аннуитет)'!F41))</f>
        <v>9.7852219335365191</v>
      </c>
      <c r="U43" s="37">
        <f>Лист1!I22+Лист1!J22</f>
        <v>48.47</v>
      </c>
      <c r="V43" s="37">
        <f>'24 мес Аннуитет'!G36</f>
        <v>66.147611796504989</v>
      </c>
      <c r="W43" s="1"/>
      <c r="X43" s="40" t="s">
        <v>151</v>
      </c>
      <c r="Y43" s="38">
        <f>IF($K$14&lt;0%,"-",IF($K$15=$AI$2,'36 мес'!C41,'36 мес (аннуитет)'!C41))</f>
        <v>28.199729269474734</v>
      </c>
      <c r="Z43" s="38">
        <f>IF($K$14&lt;0%,"-",IF($K$15=$AI$2,'36 мес'!D41+'36 мес'!E41+'36 мес'!F41,'36 мес (аннуитет)'!D41+'36 мес (аннуитет)'!E41+'36 мес (аннуитет)'!F41))</f>
        <v>25.299067701030541</v>
      </c>
      <c r="AA43" s="37">
        <f>Лист1!L22+Лист1!M22</f>
        <v>45.93</v>
      </c>
      <c r="AB43" s="37">
        <f>'36 мес Аннуитет'!G36</f>
        <v>53.498796970505275</v>
      </c>
      <c r="AC43" s="40" t="s">
        <v>151</v>
      </c>
      <c r="AD43" s="38">
        <f>IF(AND($K$14&lt;0%,$K$12="ФЛ"),"-",IF($K$15=$AI$2,'48 мес '!C42,'48 мес  (аннуитет)'!C42))</f>
        <v>15.599647326226929</v>
      </c>
      <c r="AE43" s="38">
        <f>IF(AND($K$14&lt;0%,$K$12="ФЛ"),"-",IF($K$15=$AI$2,'48 мес '!D42+'48 мес '!E42+'48 мес '!F42,'48 мес  (аннуитет)'!D42+'48 мес  (аннуитет)'!E42+'48 мес  (аннуитет)'!F42))</f>
        <v>32.240021567104279</v>
      </c>
      <c r="AF43" s="37">
        <f t="shared" si="0"/>
        <v>47.839668893331208</v>
      </c>
      <c r="AG43" s="39"/>
      <c r="AJ43" s="4"/>
      <c r="BC43" s="3"/>
      <c r="BI43" s="1"/>
      <c r="BJ43" s="1"/>
      <c r="BK43" s="1"/>
      <c r="BL43" s="1"/>
      <c r="BM43" s="1"/>
      <c r="BN43" s="1"/>
    </row>
    <row r="44" spans="1:66" s="2" customFormat="1" ht="15.75">
      <c r="A44" s="1"/>
      <c r="B44" s="1"/>
      <c r="C44" s="1"/>
      <c r="D44" s="1"/>
      <c r="E44" s="1"/>
      <c r="F44" s="50"/>
      <c r="G44" s="45"/>
      <c r="H44" s="46"/>
      <c r="I44" s="39"/>
      <c r="J44" s="39"/>
      <c r="K44" s="1"/>
      <c r="L44" s="1"/>
      <c r="M44" s="1"/>
      <c r="N44" s="1"/>
      <c r="O44" s="1"/>
      <c r="P44" s="1"/>
      <c r="Q44" s="39"/>
      <c r="R44" s="40" t="s">
        <v>152</v>
      </c>
      <c r="S44" s="38">
        <f>IF($K$14&lt;0%,"-",IF($K$15=$AI$2,'24 мес'!C42,'24 мес (аннуитет)'!C42))</f>
        <v>58.66385411570635</v>
      </c>
      <c r="T44" s="38">
        <f>IF($K$14&lt;0%,"-",IF($K$15=$AI$2,'24 мес'!D42+'24 мес'!E42+'24 мес'!F42,'24 мес (аннуитет)'!D42+'24 мес (аннуитет)'!E42+'24 мес (аннуитет)'!F42))</f>
        <v>7.4837576807986403</v>
      </c>
      <c r="U44" s="37">
        <f>Лист1!I23+Лист1!J23</f>
        <v>46.77</v>
      </c>
      <c r="V44" s="37">
        <f>'24 мес Аннуитет'!G37</f>
        <v>66.147611796504989</v>
      </c>
      <c r="W44" s="1"/>
      <c r="X44" s="40" t="s">
        <v>152</v>
      </c>
      <c r="Y44" s="38">
        <f>IF($K$14&lt;0%,"-",IF($K$15=$AI$2,'36 мес'!C42,'36 мес (аннуитет)'!C42))</f>
        <v>29.351218214644948</v>
      </c>
      <c r="Z44" s="38">
        <f>IF($K$14&lt;0%,"-",IF($K$15=$AI$2,'36 мес'!D42+'36 мес'!E42+'36 мес'!F42,'36 мес (аннуитет)'!D42+'36 мес (аннуитет)'!E42+'36 мес (аннуитет)'!F42))</f>
        <v>24.147578755860327</v>
      </c>
      <c r="AA44" s="37">
        <f>Лист1!L23+Лист1!M23</f>
        <v>44.790000000000006</v>
      </c>
      <c r="AB44" s="37">
        <f>'36 мес Аннуитет'!G37</f>
        <v>53.498796970505275</v>
      </c>
      <c r="AC44" s="40" t="s">
        <v>152</v>
      </c>
      <c r="AD44" s="38">
        <f>IF(AND($K$14&lt;0%,$K$12="ФЛ"),"-",IF($K$15=$AI$2,'48 мес '!C43,'48 мес  (аннуитет)'!C43))</f>
        <v>16.236632925381191</v>
      </c>
      <c r="AE44" s="38">
        <f>IF(AND($K$14&lt;0%,$K$12="ФЛ"),"-",IF($K$15=$AI$2,'48 мес '!D43+'48 мес '!E43+'48 мес '!F43,'48 мес  (аннуитет)'!D43+'48 мес  (аннуитет)'!E43+'48 мес  (аннуитет)'!F43))</f>
        <v>31.603035967950017</v>
      </c>
      <c r="AF44" s="37">
        <f t="shared" si="0"/>
        <v>47.839668893331208</v>
      </c>
      <c r="AG44" s="39"/>
      <c r="AJ44" s="4"/>
      <c r="BC44" s="3"/>
      <c r="BI44" s="1"/>
      <c r="BJ44" s="1"/>
      <c r="BK44" s="1"/>
      <c r="BL44" s="1"/>
      <c r="BM44" s="1"/>
      <c r="BN44" s="1"/>
    </row>
    <row r="45" spans="1:66" s="2" customFormat="1" ht="15.75">
      <c r="A45" s="1"/>
      <c r="B45" s="1"/>
      <c r="C45" s="1"/>
      <c r="D45" s="1"/>
      <c r="E45" s="1"/>
      <c r="F45" s="52"/>
      <c r="G45" s="52"/>
      <c r="H45" s="52"/>
      <c r="I45" s="52"/>
      <c r="J45" s="52"/>
      <c r="K45" s="1"/>
      <c r="L45" s="1"/>
      <c r="M45" s="1"/>
      <c r="N45" s="1"/>
      <c r="O45" s="1"/>
      <c r="P45" s="1"/>
      <c r="Q45" s="52"/>
      <c r="R45" s="40" t="s">
        <v>153</v>
      </c>
      <c r="S45" s="38">
        <f>IF($K$14&lt;0%,"-",IF($K$15=$AI$2,'24 мес'!C43,'24 мес (аннуитет)'!C43))</f>
        <v>61.059294825431024</v>
      </c>
      <c r="T45" s="38">
        <f>IF($K$14&lt;0%,"-",IF($K$15=$AI$2,'24 мес'!D43+'24 мес'!E43+'24 мес'!F43,'24 мес (аннуитет)'!D43+'24 мес (аннуитет)'!E43+'24 мес (аннуитет)'!F43))</f>
        <v>5.0883169710739642</v>
      </c>
      <c r="U45" s="37">
        <f>Лист1!I24+Лист1!J24</f>
        <v>45.07</v>
      </c>
      <c r="V45" s="37">
        <f>'24 мес Аннуитет'!G38</f>
        <v>66.147611796504989</v>
      </c>
      <c r="W45" s="1"/>
      <c r="X45" s="40" t="s">
        <v>153</v>
      </c>
      <c r="Y45" s="38">
        <f>IF($K$14&lt;0%,"-",IF($K$15=$AI$2,'36 мес'!C43,'36 мес (аннуитет)'!C43))</f>
        <v>30.54972629174295</v>
      </c>
      <c r="Z45" s="38">
        <f>IF($K$14&lt;0%,"-",IF($K$15=$AI$2,'36 мес'!D43+'36 мес'!E43+'36 мес'!F43,'36 мес (аннуитет)'!D43+'36 мес (аннуитет)'!E43+'36 мес (аннуитет)'!F43))</f>
        <v>22.949070678762325</v>
      </c>
      <c r="AA45" s="37">
        <f>Лист1!L24+Лист1!M24</f>
        <v>43.660000000000004</v>
      </c>
      <c r="AB45" s="37">
        <f>'36 мес Аннуитет'!G38</f>
        <v>53.498796970505275</v>
      </c>
      <c r="AC45" s="40" t="s">
        <v>153</v>
      </c>
      <c r="AD45" s="38">
        <f>IF(AND($K$14&lt;0%,$K$12="ФЛ"),"-",IF($K$15=$AI$2,'48 мес '!C44,'48 мес  (аннуитет)'!C44))</f>
        <v>16.899628769834255</v>
      </c>
      <c r="AE45" s="38">
        <f>IF(AND($K$14&lt;0%,$K$12="ФЛ"),"-",IF($K$15=$AI$2,'48 мес '!D44+'48 мес '!E44+'48 мес '!F44,'48 мес  (аннуитет)'!D44+'48 мес  (аннуитет)'!E44+'48 мес  (аннуитет)'!F44))</f>
        <v>30.940040123496953</v>
      </c>
      <c r="AF45" s="37">
        <f t="shared" si="0"/>
        <v>47.839668893331208</v>
      </c>
      <c r="AG45" s="39"/>
      <c r="AJ45" s="4"/>
      <c r="BC45" s="3"/>
      <c r="BI45" s="1"/>
      <c r="BJ45" s="1"/>
      <c r="BK45" s="1"/>
      <c r="BL45" s="1"/>
      <c r="BM45" s="1"/>
      <c r="BN45" s="1"/>
    </row>
    <row r="46" spans="1:66" s="2" customFormat="1" ht="15.75" customHeight="1">
      <c r="A46" s="1"/>
      <c r="B46" s="1"/>
      <c r="C46" s="1"/>
      <c r="D46" s="1"/>
      <c r="E46" s="1"/>
      <c r="F46" s="52"/>
      <c r="G46" s="52"/>
      <c r="H46" s="52"/>
      <c r="I46" s="52"/>
      <c r="J46" s="52"/>
      <c r="K46" s="1"/>
      <c r="L46" s="1"/>
      <c r="M46" s="1"/>
      <c r="N46" s="1"/>
      <c r="O46" s="1"/>
      <c r="P46" s="1"/>
      <c r="Q46" s="52"/>
      <c r="R46" s="243" t="s">
        <v>154</v>
      </c>
      <c r="S46" s="38">
        <f>IF($K$14&lt;0%,"-",IF($K$15=$AI$2,'24 мес'!C44,'24 мес (аннуитет)'!C44))</f>
        <v>63.552549364135459</v>
      </c>
      <c r="T46" s="38">
        <f>IF($K$14&lt;0%,"-",IF($K$15=$AI$2,'24 мес'!D44+'24 мес'!E44+'24 мес'!F44,'24 мес (аннуитет)'!D44+'24 мес (аннуитет)'!E44+'24 мес (аннуитет)'!F44))</f>
        <v>2.5950624323688642</v>
      </c>
      <c r="U46" s="37">
        <f>Лист1!I25+Лист1!J25</f>
        <v>43.290000000000262</v>
      </c>
      <c r="V46" s="37">
        <f>'24 мес Аннуитет'!G39</f>
        <v>66.147611796504322</v>
      </c>
      <c r="W46" s="1"/>
      <c r="X46" s="40" t="s">
        <v>155</v>
      </c>
      <c r="Y46" s="38">
        <f>IF($K$14&lt;0%,"-",IF($K$15=$AI$2,'36 мес'!C44,'36 мес (аннуитет)'!C44))</f>
        <v>31.797173448655787</v>
      </c>
      <c r="Z46" s="38">
        <f>IF($K$14&lt;0%,"-",IF($K$15=$AI$2,'36 мес'!D44+'36 мес'!E44+'36 мес'!F44,'36 мес (аннуитет)'!D44+'36 мес (аннуитет)'!E44+'36 мес (аннуитет)'!F44))</f>
        <v>21.701623521849488</v>
      </c>
      <c r="AA46" s="37">
        <f>Лист1!L25+Лист1!M25</f>
        <v>42.52</v>
      </c>
      <c r="AB46" s="37">
        <f>'36 мес Аннуитет'!G39</f>
        <v>53.498796970505275</v>
      </c>
      <c r="AC46" s="40" t="s">
        <v>155</v>
      </c>
      <c r="AD46" s="38">
        <f>IF(AND($K$14&lt;0%,$K$12="ФЛ"),"-",IF($K$15=$AI$2,'48 мес '!C45,'48 мес  (аннуитет)'!C45))</f>
        <v>17.58969694460249</v>
      </c>
      <c r="AE46" s="38">
        <f>IF(AND($K$14&lt;0%,$K$12="ФЛ"),"-",IF($K$15=$AI$2,'48 мес '!D45+'48 мес '!E45+'48 мес '!F45,'48 мес  (аннуитет)'!D45+'48 мес  (аннуитет)'!E45+'48 мес  (аннуитет)'!F45))</f>
        <v>30.249971948728717</v>
      </c>
      <c r="AF46" s="37">
        <f t="shared" si="0"/>
        <v>47.839668893331208</v>
      </c>
      <c r="AG46" s="39"/>
      <c r="AJ46" s="4"/>
      <c r="BC46" s="3"/>
      <c r="BI46" s="1"/>
      <c r="BJ46" s="1"/>
      <c r="BK46" s="1"/>
      <c r="BL46" s="1"/>
      <c r="BM46" s="1"/>
      <c r="BN46" s="1"/>
    </row>
    <row r="47" spans="1:66" s="2" customFormat="1" ht="15.75">
      <c r="A47" s="1"/>
      <c r="B47" s="1"/>
      <c r="C47" s="1"/>
      <c r="D47" s="1"/>
      <c r="E47" s="1"/>
      <c r="F47" s="52"/>
      <c r="G47" s="52"/>
      <c r="H47" s="52"/>
      <c r="I47" s="52"/>
      <c r="J47" s="52"/>
      <c r="K47" s="1"/>
      <c r="L47" s="1"/>
      <c r="M47" s="1"/>
      <c r="N47" s="1"/>
      <c r="O47" s="1"/>
      <c r="P47" s="1"/>
      <c r="Q47" s="52"/>
      <c r="R47" s="244"/>
      <c r="S47" s="53"/>
      <c r="T47" s="36"/>
      <c r="U47" s="37">
        <f>'24 мес Убывающий'!G40</f>
        <v>0</v>
      </c>
      <c r="V47" s="37">
        <f>'24 мес Аннуитет'!G40</f>
        <v>0</v>
      </c>
      <c r="W47" s="1"/>
      <c r="X47" s="40" t="s">
        <v>156</v>
      </c>
      <c r="Y47" s="38">
        <f>IF($K$14&lt;0%,"-",IF($K$15=$AI$2,'36 мес'!C45,'36 мес (аннуитет)'!C45))</f>
        <v>33.095558031142559</v>
      </c>
      <c r="Z47" s="38">
        <f>IF($K$14&lt;0%,"-",IF($K$15=$AI$2,'36 мес'!D45+'36 мес'!E45+'36 мес'!F45,'36 мес (аннуитет)'!D45+'36 мес (аннуитет)'!E45+'36 мес (аннуитет)'!F45))</f>
        <v>20.403238939362712</v>
      </c>
      <c r="AA47" s="37">
        <f>Лист1!L26+Лист1!M26</f>
        <v>41.39</v>
      </c>
      <c r="AB47" s="37">
        <f>'36 мес Аннуитет'!G40</f>
        <v>53.498796970505268</v>
      </c>
      <c r="AC47" s="40" t="s">
        <v>156</v>
      </c>
      <c r="AD47" s="38">
        <f>IF(AND($K$14&lt;0%,$K$12="ФЛ"),"-",IF($K$15=$AI$2,'48 мес '!C46,'48 мес  (аннуитет)'!C46))</f>
        <v>18.307942903173757</v>
      </c>
      <c r="AE47" s="38">
        <f>IF(AND($K$14&lt;0%,$K$12="ФЛ"),"-",IF($K$15=$AI$2,'48 мес '!D46+'48 мес '!E46+'48 мес '!F46,'48 мес  (аннуитет)'!D46+'48 мес  (аннуитет)'!E46+'48 мес  (аннуитет)'!F46))</f>
        <v>29.531725990157451</v>
      </c>
      <c r="AF47" s="37">
        <f t="shared" si="0"/>
        <v>47.839668893331208</v>
      </c>
      <c r="AG47" s="39"/>
      <c r="AJ47" s="4"/>
      <c r="BC47" s="3"/>
      <c r="BI47" s="1"/>
      <c r="BJ47" s="1"/>
      <c r="BK47" s="1"/>
      <c r="BL47" s="1"/>
      <c r="BM47" s="1"/>
      <c r="BN47" s="1"/>
    </row>
    <row r="48" spans="1:66" s="2" customFormat="1" ht="15.75">
      <c r="A48" s="1"/>
      <c r="B48" s="1"/>
      <c r="C48" s="1"/>
      <c r="D48" s="1"/>
      <c r="E48" s="1"/>
      <c r="F48" s="52"/>
      <c r="G48" s="52"/>
      <c r="H48" s="52"/>
      <c r="I48" s="52"/>
      <c r="J48" s="52"/>
      <c r="K48" s="1"/>
      <c r="L48" s="1"/>
      <c r="M48" s="1"/>
      <c r="N48" s="1"/>
      <c r="O48" s="1"/>
      <c r="P48" s="1"/>
      <c r="Q48" s="52"/>
      <c r="R48" s="1"/>
      <c r="S48" s="1"/>
      <c r="T48" s="1"/>
      <c r="U48" s="1"/>
      <c r="V48" s="1"/>
      <c r="W48" s="52"/>
      <c r="X48" s="40" t="s">
        <v>157</v>
      </c>
      <c r="Y48" s="38">
        <f>IF($K$14&lt;0%,"-",IF($K$15=$AI$2,'36 мес'!C46,'36 мес (аннуитет)'!C46))</f>
        <v>34.446959984080884</v>
      </c>
      <c r="Z48" s="38">
        <f>IF($K$14&lt;0%,"-",IF($K$15=$AI$2,'36 мес'!D46+'36 мес'!E46+'36 мес'!F46,'36 мес (аннуитет)'!D46+'36 мес (аннуитет)'!E46+'36 мес (аннуитет)'!F46))</f>
        <v>19.051836986424391</v>
      </c>
      <c r="AA48" s="37">
        <f>Лист1!L27+Лист1!M27</f>
        <v>40.25</v>
      </c>
      <c r="AB48" s="37">
        <f>'36 мес Аннуитет'!G41</f>
        <v>53.498796970505275</v>
      </c>
      <c r="AC48" s="40" t="s">
        <v>157</v>
      </c>
      <c r="AD48" s="38">
        <f>IF(AND($K$14&lt;0%,$K$12="ФЛ"),"-",IF($K$15=$AI$2,'48 мес '!C47,'48 мес  (аннуитет)'!C47))</f>
        <v>19.055517238386685</v>
      </c>
      <c r="AE48" s="38">
        <f>IF(AND($K$14&lt;0%,$K$12="ФЛ"),"-",IF($K$15=$AI$2,'48 мес '!D47+'48 мес '!E47+'48 мес '!F47,'48 мес  (аннуитет)'!D47+'48 мес  (аннуитет)'!E47+'48 мес  (аннуитет)'!F47))</f>
        <v>28.784151654944523</v>
      </c>
      <c r="AF48" s="37">
        <f t="shared" si="0"/>
        <v>47.839668893331208</v>
      </c>
      <c r="AG48" s="39"/>
      <c r="AJ48" s="4"/>
      <c r="BC48" s="3"/>
      <c r="BI48" s="1"/>
      <c r="BJ48" s="1"/>
      <c r="BK48" s="1"/>
      <c r="BL48" s="1"/>
      <c r="BM48" s="1"/>
      <c r="BN48" s="1"/>
    </row>
    <row r="49" spans="1:66" s="2" customFormat="1" ht="15.75">
      <c r="A49" s="1"/>
      <c r="B49" s="1"/>
      <c r="C49" s="1"/>
      <c r="D49" s="1"/>
      <c r="E49" s="1"/>
      <c r="F49" s="52"/>
      <c r="G49" s="52"/>
      <c r="H49" s="52"/>
      <c r="I49" s="52"/>
      <c r="J49" s="52"/>
      <c r="K49" s="1"/>
      <c r="L49" s="1"/>
      <c r="M49" s="1"/>
      <c r="N49" s="1"/>
      <c r="O49" s="1"/>
      <c r="P49" s="1"/>
      <c r="Q49" s="52"/>
      <c r="R49" s="44"/>
      <c r="S49" s="54"/>
      <c r="T49" s="54"/>
      <c r="U49" s="47"/>
      <c r="V49" s="47"/>
      <c r="W49" s="1"/>
      <c r="X49" s="40" t="s">
        <v>158</v>
      </c>
      <c r="Y49" s="38">
        <f>IF($K$14&lt;0%,"-",IF($K$15=$AI$2,'36 мес'!C47,'36 мес (аннуитет)'!C47))</f>
        <v>35.853544183430856</v>
      </c>
      <c r="Z49" s="38">
        <f>IF($K$14&lt;0%,"-",IF($K$15=$AI$2,'36 мес'!D47+'36 мес'!E47+'36 мес'!F47,'36 мес (аннуитет)'!D47+'36 мес (аннуитет)'!E47+'36 мес (аннуитет)'!F47))</f>
        <v>17.645252787074423</v>
      </c>
      <c r="AA49" s="37">
        <f>Лист1!L28+Лист1!M28</f>
        <v>39.120000000000005</v>
      </c>
      <c r="AB49" s="37">
        <f>'36 мес Аннуитет'!G42</f>
        <v>53.498796970505282</v>
      </c>
      <c r="AC49" s="40" t="s">
        <v>158</v>
      </c>
      <c r="AD49" s="38">
        <f>IF(AND($K$14&lt;0%,$K$12="ФЛ"),"-",IF($K$15=$AI$2,'48 мес '!C48,'48 мес  (аннуитет)'!C48))</f>
        <v>19.833617525620806</v>
      </c>
      <c r="AE49" s="38">
        <f>IF(AND($K$14&lt;0%,$K$12="ФЛ"),"-",IF($K$15=$AI$2,'48 мес '!D48+'48 мес '!E48+'48 мес '!F48,'48 мес  (аннуитет)'!D48+'48 мес  (аннуитет)'!E48+'48 мес  (аннуитет)'!F48))</f>
        <v>28.006051367710402</v>
      </c>
      <c r="AF49" s="37">
        <f t="shared" si="0"/>
        <v>47.839668893331208</v>
      </c>
      <c r="AG49" s="39"/>
      <c r="AJ49" s="4"/>
      <c r="BC49" s="3"/>
      <c r="BI49" s="1"/>
      <c r="BJ49" s="1"/>
      <c r="BK49" s="1"/>
      <c r="BL49" s="1"/>
      <c r="BM49" s="1"/>
      <c r="BN49" s="1"/>
    </row>
    <row r="50" spans="1:66" s="2" customFormat="1" ht="15.75">
      <c r="A50" s="1"/>
      <c r="B50" s="1"/>
      <c r="C50" s="1"/>
      <c r="D50" s="1"/>
      <c r="E50" s="1"/>
      <c r="F50" s="52"/>
      <c r="G50" s="52"/>
      <c r="H50" s="52"/>
      <c r="I50" s="52"/>
      <c r="J50" s="52"/>
      <c r="K50" s="1"/>
      <c r="L50" s="55"/>
      <c r="M50" s="55"/>
      <c r="N50" s="55"/>
      <c r="O50" s="55"/>
      <c r="P50" s="55"/>
      <c r="Q50" s="52"/>
      <c r="R50" s="44"/>
      <c r="S50" s="48"/>
      <c r="T50" s="49"/>
      <c r="U50" s="47"/>
      <c r="V50" s="47"/>
      <c r="W50" s="1"/>
      <c r="X50" s="40" t="s">
        <v>159</v>
      </c>
      <c r="Y50" s="38">
        <f>IF($K$14&lt;0%,"-",IF($K$15=$AI$2,'36 мес'!C48,'36 мес (аннуитет)'!C48))</f>
        <v>37.317563904254285</v>
      </c>
      <c r="Z50" s="38">
        <f>IF($K$14&lt;0%,"-",IF($K$15=$AI$2,'36 мес'!D48+'36 мес'!E48+'36 мес'!F48,'36 мес (аннуитет)'!D48+'36 мес (аннуитет)'!E48+'36 мес (аннуитет)'!F48))</f>
        <v>16.181233066250993</v>
      </c>
      <c r="AA50" s="37">
        <f>Лист1!L29+Лист1!M29</f>
        <v>37.99</v>
      </c>
      <c r="AB50" s="37">
        <f>'36 мес Аннуитет'!G43</f>
        <v>53.498796970505282</v>
      </c>
      <c r="AC50" s="40" t="s">
        <v>159</v>
      </c>
      <c r="AD50" s="38">
        <f>IF(AND($K$14&lt;0%,$K$12="ФЛ"),"-",IF($K$15=$AI$2,'48 мес '!C49,'48 мес  (аннуитет)'!C49))</f>
        <v>20.643490241250319</v>
      </c>
      <c r="AE50" s="38">
        <f>IF(AND($K$14&lt;0%,$K$12="ФЛ"),"-",IF($K$15=$AI$2,'48 мес '!D49+'48 мес '!E49+'48 мес '!F49,'48 мес  (аннуитет)'!D49+'48 мес  (аннуитет)'!E49+'48 мес  (аннуитет)'!F49))</f>
        <v>27.196178652080889</v>
      </c>
      <c r="AF50" s="37">
        <f t="shared" si="0"/>
        <v>47.839668893331208</v>
      </c>
      <c r="AG50" s="39"/>
      <c r="AJ50" s="4"/>
      <c r="BC50" s="3"/>
      <c r="BI50" s="1"/>
      <c r="BJ50" s="1"/>
      <c r="BK50" s="1"/>
      <c r="BL50" s="1"/>
      <c r="BM50" s="1"/>
      <c r="BN50" s="1"/>
    </row>
    <row r="51" spans="1:66" s="2" customFormat="1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40" t="s">
        <v>160</v>
      </c>
      <c r="Y51" s="38">
        <f>IF($K$14&lt;0%,"-",IF($K$15=$AI$2,'36 мес'!C49,'36 мес (аннуитет)'!C49))</f>
        <v>38.841364430344662</v>
      </c>
      <c r="Z51" s="38">
        <f>IF($K$14&lt;0%,"-",IF($K$15=$AI$2,'36 мес'!D49+'36 мес'!E49+'36 мес'!F49,'36 мес (аннуитет)'!D49+'36 мес (аннуитет)'!E49+'36 мес (аннуитет)'!F49))</f>
        <v>14.657432540160611</v>
      </c>
      <c r="AA51" s="37">
        <f>Лист1!L30+Лист1!M30</f>
        <v>36.85</v>
      </c>
      <c r="AB51" s="37">
        <f>'36 мес Аннуитет'!G44</f>
        <v>53.498796970505275</v>
      </c>
      <c r="AC51" s="40" t="s">
        <v>160</v>
      </c>
      <c r="AD51" s="38">
        <f>IF(AND($K$14&lt;0%,$K$12="ФЛ"),"-",IF($K$15=$AI$2,'48 мес '!C50,'48 мес  (аннуитет)'!C50))</f>
        <v>21.48643275943471</v>
      </c>
      <c r="AE51" s="38">
        <f>IF(AND($K$14&lt;0%,$K$12="ФЛ"),"-",IF($K$15=$AI$2,'48 мес '!D50+'48 мес '!E50+'48 мес '!F50,'48 мес  (аннуитет)'!D50+'48 мес  (аннуитет)'!E50+'48 мес  (аннуитет)'!F50))</f>
        <v>26.353236133896498</v>
      </c>
      <c r="AF51" s="37">
        <f t="shared" si="0"/>
        <v>47.839668893331208</v>
      </c>
      <c r="AG51" s="39"/>
      <c r="AJ51" s="4"/>
      <c r="BC51" s="3"/>
      <c r="BI51" s="1"/>
      <c r="BJ51" s="1"/>
      <c r="BK51" s="1"/>
      <c r="BL51" s="1"/>
      <c r="BM51" s="1"/>
      <c r="BN51" s="1"/>
    </row>
    <row r="52" spans="1:66" s="2" customFormat="1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40" t="s">
        <v>161</v>
      </c>
      <c r="Y52" s="38">
        <f>IF($K$14&lt;0%,"-",IF($K$15=$AI$2,'36 мес'!C50,'36 мес (аннуитет)'!C50))</f>
        <v>40.4273868112504</v>
      </c>
      <c r="Z52" s="38">
        <f>IF($K$14&lt;0%,"-",IF($K$15=$AI$2,'36 мес'!D50+'36 мес'!E50+'36 мес'!F50,'36 мес (аннуитет)'!D50+'36 мес (аннуитет)'!E50+'36 мес (аннуитет)'!F50))</f>
        <v>13.071410159254873</v>
      </c>
      <c r="AA52" s="37">
        <f>Лист1!L31+Лист1!M31</f>
        <v>35.72</v>
      </c>
      <c r="AB52" s="37">
        <f>'36 мес Аннуитет'!G45</f>
        <v>53.498796970505275</v>
      </c>
      <c r="AC52" s="40" t="s">
        <v>161</v>
      </c>
      <c r="AD52" s="38">
        <f>IF(AND($K$14&lt;0%,$K$12="ФЛ"),"-",IF($K$15=$AI$2,'48 мес '!C51,'48 мес  (аннуитет)'!C51))</f>
        <v>22.363795430444963</v>
      </c>
      <c r="AE52" s="38">
        <f>IF(AND($K$14&lt;0%,$K$12="ФЛ"),"-",IF($K$15=$AI$2,'48 мес '!D51+'48 мес '!E51+'48 мес '!F51,'48 мес  (аннуитет)'!D51+'48 мес  (аннуитет)'!E51+'48 мес  (аннуитет)'!F51))</f>
        <v>25.475873462886245</v>
      </c>
      <c r="AF52" s="37">
        <f t="shared" si="0"/>
        <v>47.839668893331208</v>
      </c>
      <c r="AG52" s="39"/>
      <c r="AJ52" s="4"/>
      <c r="BC52" s="3"/>
      <c r="BI52" s="1"/>
      <c r="BJ52" s="1"/>
      <c r="BK52" s="1"/>
      <c r="BL52" s="1"/>
      <c r="BM52" s="1"/>
      <c r="BN52" s="1"/>
    </row>
    <row r="53" spans="1:66" s="2" customFormat="1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52"/>
      <c r="X53" s="40" t="s">
        <v>162</v>
      </c>
      <c r="Y53" s="38">
        <f>IF($K$14&lt;0%,"-",IF($K$15=$AI$2,'36 мес'!C51,'36 мес (аннуитет)'!C51))</f>
        <v>42.078171772709794</v>
      </c>
      <c r="Z53" s="38">
        <f>IF($K$14&lt;0%,"-",IF($K$15=$AI$2,'36 мес'!D51+'36 мес'!E51+'36 мес'!F51,'36 мес (аннуитет)'!D51+'36 мес (аннуитет)'!E51+'36 мес (аннуитет)'!F51))</f>
        <v>11.420625197795481</v>
      </c>
      <c r="AA53" s="37">
        <f>Лист1!L32+Лист1!M32</f>
        <v>34.58</v>
      </c>
      <c r="AB53" s="37">
        <f>'36 мес Аннуитет'!G46</f>
        <v>53.498796970505275</v>
      </c>
      <c r="AC53" s="40" t="s">
        <v>162</v>
      </c>
      <c r="AD53" s="38">
        <f>IF(AND($K$14&lt;0%,$K$12="ФЛ"),"-",IF($K$15=$AI$2,'48 мес '!C52,'48 мес  (аннуитет)'!C52))</f>
        <v>23.276983743854796</v>
      </c>
      <c r="AE53" s="38">
        <f>IF(AND($K$14&lt;0%,$K$12="ФЛ"),"-",IF($K$15=$AI$2,'48 мес '!D52+'48 мес '!E52+'48 мес '!F52,'48 мес  (аннуитет)'!D52+'48 мес  (аннуитет)'!E52+'48 мес  (аннуитет)'!F52))</f>
        <v>24.562685149476412</v>
      </c>
      <c r="AF53" s="37">
        <f t="shared" si="0"/>
        <v>47.839668893331208</v>
      </c>
      <c r="AG53" s="39"/>
      <c r="AJ53" s="4"/>
      <c r="BC53" s="3"/>
      <c r="BI53" s="1"/>
      <c r="BJ53" s="1"/>
      <c r="BK53" s="1"/>
      <c r="BL53" s="1"/>
      <c r="BM53" s="1"/>
      <c r="BN53" s="1"/>
    </row>
    <row r="54" spans="1:66" s="2" customFormat="1" ht="15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52"/>
      <c r="X54" s="40" t="s">
        <v>163</v>
      </c>
      <c r="Y54" s="38">
        <f>IF($K$14&lt;0%,"-",IF($K$15=$AI$2,'36 мес'!C52,'36 мес (аннуитет)'!C52))</f>
        <v>43.796363786762115</v>
      </c>
      <c r="Z54" s="38">
        <f>IF($K$14&lt;0%,"-",IF($K$15=$AI$2,'36 мес'!D52+'36 мес'!E52+'36 мес'!F52,'36 мес (аннуитет)'!D52+'36 мес (аннуитет)'!E52+'36 мес (аннуитет)'!F52))</f>
        <v>9.7024331837431639</v>
      </c>
      <c r="AA54" s="37">
        <f>Лист1!L33+Лист1!M33</f>
        <v>33.450000000000003</v>
      </c>
      <c r="AB54" s="37">
        <f>'36 мес Аннуитет'!G47</f>
        <v>53.498796970505282</v>
      </c>
      <c r="AC54" s="40" t="s">
        <v>163</v>
      </c>
      <c r="AD54" s="38">
        <f>IF(AND($K$14&lt;0%,$K$12="ФЛ"),"-",IF($K$15=$AI$2,'48 мес '!C53,'48 мес  (аннуитет)'!C53))</f>
        <v>24.2274605800622</v>
      </c>
      <c r="AE54" s="38">
        <f>IF(AND($K$14&lt;0%,$K$12="ФЛ"),"-",IF($K$15=$AI$2,'48 мес '!D53+'48 мес '!E53+'48 мес '!F53,'48 мес  (аннуитет)'!D53+'48 мес  (аннуитет)'!E53+'48 мес  (аннуитет)'!F53))</f>
        <v>23.612208313269008</v>
      </c>
      <c r="AF54" s="37">
        <f t="shared" ref="AF54:AF70" si="1">IF(AND($K$12="ФЛ",$K$14&lt;0%),"-",AD54+AE54)</f>
        <v>47.839668893331208</v>
      </c>
      <c r="AG54" s="39"/>
      <c r="AJ54" s="4"/>
      <c r="BC54" s="3"/>
      <c r="BI54" s="1"/>
      <c r="BJ54" s="1"/>
      <c r="BK54" s="1"/>
      <c r="BL54" s="1"/>
      <c r="BM54" s="1"/>
      <c r="BN54" s="1"/>
    </row>
    <row r="55" spans="1:66" s="2" customFormat="1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52"/>
      <c r="X55" s="40" t="s">
        <v>164</v>
      </c>
      <c r="Y55" s="38">
        <f>IF($K$14&lt;0%,"-",IF($K$15=$AI$2,'36 мес'!C53,'36 мес (аннуитет)'!C53))</f>
        <v>45.584715308054896</v>
      </c>
      <c r="Z55" s="38">
        <f>IF($K$14&lt;0%,"-",IF($K$15=$AI$2,'36 мес'!D53+'36 мес'!E53+'36 мес'!F53,'36 мес (аннуитет)'!D53+'36 мес (аннуитет)'!E53+'36 мес (аннуитет)'!F53))</f>
        <v>7.9140816624503785</v>
      </c>
      <c r="AA55" s="37">
        <f>Лист1!L34+Лист1!M34</f>
        <v>32.31</v>
      </c>
      <c r="AB55" s="37">
        <f>'36 мес Аннуитет'!G48</f>
        <v>53.498796970505275</v>
      </c>
      <c r="AC55" s="40" t="s">
        <v>164</v>
      </c>
      <c r="AD55" s="38">
        <f>IF(AND($K$14&lt;0%,$K$12="ФЛ"),"-",IF($K$15=$AI$2,'48 мес '!C54,'48 мес  (аннуитет)'!C54))</f>
        <v>25.216748553748076</v>
      </c>
      <c r="AE55" s="38">
        <f>IF(AND($K$14&lt;0%,$K$12="ФЛ"),"-",IF($K$15=$AI$2,'48 мес '!D54+'48 мес '!E54+'48 мес '!F54,'48 мес  (аннуитет)'!D54+'48 мес  (аннуитет)'!E54+'48 мес  (аннуитет)'!F54))</f>
        <v>22.622920339583132</v>
      </c>
      <c r="AF55" s="37">
        <f t="shared" si="1"/>
        <v>47.839668893331208</v>
      </c>
      <c r="AG55" s="39"/>
      <c r="AJ55" s="4"/>
      <c r="BC55" s="3"/>
      <c r="BI55" s="1"/>
      <c r="BJ55" s="1"/>
      <c r="BK55" s="1"/>
      <c r="BL55" s="1"/>
      <c r="BM55" s="1"/>
      <c r="BN55" s="1"/>
    </row>
    <row r="56" spans="1:66" s="2" customFormat="1" ht="15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52"/>
      <c r="X56" s="40" t="s">
        <v>165</v>
      </c>
      <c r="Y56" s="38">
        <f>IF($K$14&lt;0%,"-",IF($K$15=$AI$2,'36 мес'!C54,'36 мес (аннуитет)'!C54))</f>
        <v>47.446091183133802</v>
      </c>
      <c r="Z56" s="38">
        <f>IF($K$14&lt;0%,"-",IF($K$15=$AI$2,'36 мес'!D54+'36 мес'!E54+'36 мес'!F54,'36 мес (аннуитет)'!D54+'36 мес (аннуитет)'!E54+'36 мес (аннуитет)'!F54))</f>
        <v>6.0527057873714689</v>
      </c>
      <c r="AA56" s="37">
        <f>Лист1!L35+Лист1!M35</f>
        <v>31.18</v>
      </c>
      <c r="AB56" s="37">
        <f>'36 мес Аннуитет'!G49</f>
        <v>53.498796970505268</v>
      </c>
      <c r="AC56" s="40" t="s">
        <v>165</v>
      </c>
      <c r="AD56" s="38">
        <f>IF(AND($K$14&lt;0%,$K$12="ФЛ"),"-",IF($K$15=$AI$2,'48 мес '!C55,'48 мес  (аннуитет)'!C55))</f>
        <v>26.24643245302612</v>
      </c>
      <c r="AE56" s="38">
        <f>IF(AND($K$14&lt;0%,$K$12="ФЛ"),"-",IF($K$15=$AI$2,'48 мес '!D55+'48 мес '!E55+'48 мес '!F55,'48 мес  (аннуитет)'!D55+'48 мес  (аннуитет)'!E55+'48 мес  (аннуитет)'!F55))</f>
        <v>21.593236440305088</v>
      </c>
      <c r="AF56" s="37">
        <f t="shared" si="1"/>
        <v>47.839668893331208</v>
      </c>
      <c r="AG56" s="39"/>
      <c r="AJ56" s="4"/>
      <c r="BC56" s="3"/>
      <c r="BI56" s="1"/>
      <c r="BJ56" s="1"/>
      <c r="BK56" s="1"/>
      <c r="BL56" s="1"/>
      <c r="BM56" s="1"/>
      <c r="BN56" s="1"/>
    </row>
    <row r="57" spans="1:66" s="2" customFormat="1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52"/>
      <c r="X57" s="40" t="s">
        <v>166</v>
      </c>
      <c r="Y57" s="38">
        <f>IF($K$14&lt;0%,"-",IF($K$15=$AI$2,'36 мес'!C55,'36 мес (аннуитет)'!C55))</f>
        <v>49.383473239778439</v>
      </c>
      <c r="Z57" s="38">
        <f>IF($K$14&lt;0%,"-",IF($K$15=$AI$2,'36 мес'!D55+'36 мес'!E55+'36 мес'!F55,'36 мес (аннуитет)'!D55+'36 мес (аннуитет)'!E55+'36 мес (аннуитет)'!F55))</f>
        <v>4.1153237307268391</v>
      </c>
      <c r="AA57" s="37">
        <f>Лист1!L36+Лист1!M36</f>
        <v>30.05</v>
      </c>
      <c r="AB57" s="37">
        <f>'36 мес Аннуитет'!G50</f>
        <v>53.498796970505282</v>
      </c>
      <c r="AC57" s="40" t="s">
        <v>166</v>
      </c>
      <c r="AD57" s="38">
        <f>IF(AND($K$14&lt;0%,$K$12="ФЛ"),"-",IF($K$15=$AI$2,'48 мес '!C56,'48 мес  (аннуитет)'!C56))</f>
        <v>27.318161778191349</v>
      </c>
      <c r="AE57" s="38">
        <f>IF(AND($K$14&lt;0%,$K$12="ФЛ"),"-",IF($K$15=$AI$2,'48 мес '!D56+'48 мес '!E56+'48 мес '!F56,'48 мес  (аннуитет)'!D56+'48 мес  (аннуитет)'!E56+'48 мес  (аннуитет)'!F56))</f>
        <v>20.521507115139858</v>
      </c>
      <c r="AF57" s="37">
        <f t="shared" si="1"/>
        <v>47.839668893331208</v>
      </c>
      <c r="AG57" s="39"/>
      <c r="AJ57" s="4"/>
      <c r="BC57" s="3"/>
      <c r="BI57" s="1"/>
      <c r="BJ57" s="1"/>
      <c r="BK57" s="1"/>
      <c r="BL57" s="1"/>
      <c r="BM57" s="1"/>
      <c r="BN57" s="1"/>
    </row>
    <row r="58" spans="1:66" s="2" customFormat="1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2"/>
      <c r="X58" s="243" t="s">
        <v>167</v>
      </c>
      <c r="Y58" s="38">
        <f>IF($K$14&lt;0%,"-",IF($K$15=$AI$2,'36 мес'!C56,'36 мес (аннуитет)'!C56))</f>
        <v>51.399965063736055</v>
      </c>
      <c r="Z58" s="38">
        <f>IF($K$14&lt;0%,"-",IF($K$15=$AI$2,'36 мес'!D56+'36 мес'!E56+'36 мес'!F56,'36 мес (аннуитет)'!D56+'36 мес (аннуитет)'!E56+'36 мес (аннуитет)'!F56))</f>
        <v>2.0988319067692198</v>
      </c>
      <c r="AA58" s="37">
        <f>Лист1!L37+Лист1!M37</f>
        <v>28.830000000000613</v>
      </c>
      <c r="AB58" s="37">
        <f>'36 мес Аннуитет'!G51</f>
        <v>53.498796970505275</v>
      </c>
      <c r="AC58" s="40" t="s">
        <v>168</v>
      </c>
      <c r="AD58" s="38">
        <f>IF(AND($K$14&lt;0%,$K$12="ФЛ"),"-",IF($K$15=$AI$2,'48 мес '!C57,'48 мес  (аннуитет)'!C57))</f>
        <v>28.433653384134164</v>
      </c>
      <c r="AE58" s="38">
        <f>IF(AND($K$14&lt;0%,$K$12="ФЛ"),"-",IF($K$15=$AI$2,'48 мес '!D57+'48 мес '!E57+'48 мес '!F57,'48 мес  (аннуитет)'!D57+'48 мес  (аннуитет)'!E57+'48 мес  (аннуитет)'!F57))</f>
        <v>19.406015509197044</v>
      </c>
      <c r="AF58" s="37">
        <f t="shared" si="1"/>
        <v>47.839668893331208</v>
      </c>
      <c r="AG58" s="39"/>
      <c r="AJ58" s="4"/>
      <c r="BC58" s="3"/>
      <c r="BI58" s="1"/>
      <c r="BJ58" s="1"/>
      <c r="BK58" s="1"/>
      <c r="BL58" s="1"/>
      <c r="BM58" s="1"/>
      <c r="BN58" s="1"/>
    </row>
    <row r="59" spans="1:66" s="2" customFormat="1" ht="15.75">
      <c r="A59" s="1"/>
      <c r="B59" s="1"/>
      <c r="C59" s="1"/>
      <c r="D59" s="1"/>
      <c r="E59" s="1"/>
      <c r="F59" s="52"/>
      <c r="G59" s="56"/>
      <c r="H59" s="52"/>
      <c r="I59" s="52"/>
      <c r="J59" s="5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52"/>
      <c r="X59" s="244"/>
      <c r="Y59" s="53"/>
      <c r="Z59" s="36"/>
      <c r="AA59" s="37">
        <f>'36 мес Убывающий'!G52</f>
        <v>0</v>
      </c>
      <c r="AB59" s="37">
        <f>'36 мес Аннуитет'!G52</f>
        <v>0</v>
      </c>
      <c r="AC59" s="40" t="s">
        <v>169</v>
      </c>
      <c r="AD59" s="38">
        <f>IF(AND($K$14&lt;0%,$K$12="ФЛ"),"-",IF($K$15=$AI$2,'48 мес '!C58,'48 мес  (аннуитет)'!C58))</f>
        <v>29.594694230652976</v>
      </c>
      <c r="AE59" s="38">
        <f>IF(AND($K$14&lt;0%,$K$12="ФЛ"),"-",IF($K$15=$AI$2,'48 мес '!D58+'48 мес '!E58+'48 мес '!F58,'48 мес  (аннуитет)'!D58+'48 мес  (аннуитет)'!E58+'48 мес  (аннуитет)'!F58))</f>
        <v>18.244974662678231</v>
      </c>
      <c r="AF59" s="37">
        <f t="shared" si="1"/>
        <v>47.839668893331208</v>
      </c>
      <c r="AG59" s="39"/>
      <c r="AJ59" s="4"/>
      <c r="BC59" s="3"/>
      <c r="BI59" s="1"/>
      <c r="BJ59" s="1"/>
      <c r="BK59" s="1"/>
      <c r="BL59" s="1"/>
      <c r="BM59" s="1"/>
      <c r="BN59" s="1"/>
    </row>
    <row r="60" spans="1:66" s="2" customFormat="1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5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52"/>
      <c r="Y60" s="52"/>
      <c r="Z60" s="52"/>
      <c r="AA60" s="52"/>
      <c r="AB60" s="1"/>
      <c r="AC60" s="40" t="s">
        <v>170</v>
      </c>
      <c r="AD60" s="38">
        <f>IF(AND($K$14&lt;0%,$K$12="ФЛ"),"-",IF($K$15=$AI$2,'48 мес '!C59,'48 мес  (аннуитет)'!C59))</f>
        <v>30.803144245071305</v>
      </c>
      <c r="AE60" s="38">
        <f>IF(AND($K$14&lt;0%,$K$12="ФЛ"),"-",IF($K$15=$AI$2,'48 мес '!D59+'48 мес '!E59+'48 мес '!F59,'48 мес  (аннуитет)'!D59+'48 мес  (аннуитет)'!E59+'48 мес  (аннуитет)'!F59))</f>
        <v>17.036524648259903</v>
      </c>
      <c r="AF60" s="37">
        <f t="shared" si="1"/>
        <v>47.839668893331208</v>
      </c>
      <c r="AG60" s="39"/>
      <c r="AJ60" s="4"/>
      <c r="BC60" s="3"/>
      <c r="BI60" s="1"/>
      <c r="BJ60" s="1"/>
      <c r="BK60" s="1"/>
      <c r="BL60" s="1"/>
      <c r="BM60" s="1"/>
      <c r="BN60" s="1"/>
    </row>
    <row r="61" spans="1:66" s="2" customFormat="1" ht="15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44"/>
      <c r="Y61" s="48"/>
      <c r="Z61" s="49"/>
      <c r="AA61" s="47"/>
      <c r="AB61" s="1"/>
      <c r="AC61" s="40" t="s">
        <v>171</v>
      </c>
      <c r="AD61" s="38">
        <f>IF(AND($K$14&lt;0%,$K$12="ФЛ"),"-",IF($K$15=$AI$2,'48 мес '!C60,'48 мес  (аннуитет)'!C60))</f>
        <v>32.060939301745051</v>
      </c>
      <c r="AE61" s="38">
        <f>IF(AND($K$14&lt;0%,$K$12="ФЛ"),"-",IF($K$15=$AI$2,'48 мес '!D60+'48 мес '!E60+'48 мес '!F60,'48 мес  (аннуитет)'!D60+'48 мес  (аннуитет)'!E60+'48 мес  (аннуитет)'!F60))</f>
        <v>15.778729591586158</v>
      </c>
      <c r="AF61" s="37">
        <f t="shared" si="1"/>
        <v>47.839668893331208</v>
      </c>
      <c r="AG61" s="39"/>
      <c r="AJ61" s="4"/>
      <c r="BC61" s="3"/>
      <c r="BI61" s="1"/>
      <c r="BJ61" s="1"/>
      <c r="BK61" s="1"/>
      <c r="BL61" s="1"/>
      <c r="BM61" s="1"/>
      <c r="BN61" s="1"/>
    </row>
    <row r="62" spans="1:66" s="2" customFormat="1" ht="15.75" customHeight="1">
      <c r="A62" s="1"/>
      <c r="B62" s="1"/>
      <c r="C62" s="1"/>
      <c r="D62" s="1"/>
      <c r="E62" s="1"/>
      <c r="F62" s="246" t="s">
        <v>172</v>
      </c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1"/>
      <c r="AC62" s="40" t="s">
        <v>173</v>
      </c>
      <c r="AD62" s="38">
        <f>IF(AND($K$14&lt;0%,$K$12="ФЛ"),"-",IF($K$15=$AI$2,'48 мес '!C61,'48 мес  (аннуитет)'!C61))</f>
        <v>33.370094323232976</v>
      </c>
      <c r="AE62" s="38">
        <f>IF(AND($K$14&lt;0%,$K$12="ФЛ"),"-",IF($K$15=$AI$2,'48 мес '!D61+'48 мес '!E61+'48 мес '!F61,'48 мес  (аннуитет)'!D61+'48 мес  (аннуитет)'!E61+'48 мес  (аннуитет)'!F61))</f>
        <v>14.469574570098233</v>
      </c>
      <c r="AF62" s="37">
        <f t="shared" si="1"/>
        <v>47.839668893331208</v>
      </c>
      <c r="AG62" s="39"/>
      <c r="AJ62" s="4"/>
      <c r="BC62" s="3"/>
      <c r="BI62" s="1"/>
      <c r="BJ62" s="1"/>
      <c r="BK62" s="1"/>
      <c r="BL62" s="1"/>
      <c r="BM62" s="1"/>
      <c r="BN62" s="1"/>
    </row>
    <row r="63" spans="1:66" s="2" customFormat="1" ht="15.75" customHeight="1">
      <c r="A63" s="1"/>
      <c r="B63" s="1"/>
      <c r="C63" s="1"/>
      <c r="D63" s="1"/>
      <c r="E63" s="1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1"/>
      <c r="AC63" s="40" t="s">
        <v>174</v>
      </c>
      <c r="AD63" s="38">
        <f>IF(AND($K$14&lt;0%,$K$12="ФЛ"),"-",IF($K$15=$AI$2,'48 мес '!C62,'48 мес  (аннуитет)'!C62))</f>
        <v>34.732706508098317</v>
      </c>
      <c r="AE63" s="38">
        <f>IF(AND($K$14&lt;0%,$K$12="ФЛ"),"-",IF($K$15=$AI$2,'48 мес '!D62+'48 мес '!E62+'48 мес '!F62,'48 мес  (аннуитет)'!D62+'48 мес  (аннуитет)'!E62+'48 мес  (аннуитет)'!F62))</f>
        <v>13.106962385232888</v>
      </c>
      <c r="AF63" s="37">
        <f t="shared" si="1"/>
        <v>47.839668893331208</v>
      </c>
      <c r="AG63" s="39"/>
      <c r="AJ63" s="4"/>
      <c r="BC63" s="3"/>
      <c r="BI63" s="1"/>
      <c r="BJ63" s="1"/>
      <c r="BK63" s="1"/>
      <c r="BL63" s="1"/>
      <c r="BM63" s="1"/>
      <c r="BN63" s="1"/>
    </row>
    <row r="64" spans="1:66" s="2" customFormat="1" ht="15.75" customHeight="1">
      <c r="A64" s="1"/>
      <c r="B64" s="1"/>
      <c r="C64" s="1"/>
      <c r="D64" s="1"/>
      <c r="E64" s="1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1"/>
      <c r="AC64" s="40" t="s">
        <v>175</v>
      </c>
      <c r="AD64" s="38">
        <f>IF(AND($K$14&lt;0%,$K$12="ФЛ"),"-",IF($K$15=$AI$2,'48 мес '!C63,'48 мес  (аннуитет)'!C63))</f>
        <v>36.150958690512333</v>
      </c>
      <c r="AE64" s="38">
        <f>IF(AND($K$14&lt;0%,$K$12="ФЛ"),"-",IF($K$15=$AI$2,'48 мес '!D63+'48 мес '!E63+'48 мес '!F63,'48 мес  (аннуитет)'!D63+'48 мес  (аннуитет)'!E63+'48 мес  (аннуитет)'!F63))</f>
        <v>11.688710202818873</v>
      </c>
      <c r="AF64" s="37">
        <f t="shared" si="1"/>
        <v>47.839668893331208</v>
      </c>
      <c r="AG64" s="39"/>
      <c r="AJ64" s="4"/>
      <c r="BC64" s="3"/>
      <c r="BI64" s="1"/>
      <c r="BJ64" s="1"/>
      <c r="BK64" s="1"/>
      <c r="BL64" s="1"/>
      <c r="BM64" s="1"/>
      <c r="BN64" s="1"/>
    </row>
    <row r="65" spans="1:66" s="2" customFormat="1" ht="15.75" customHeight="1">
      <c r="A65" s="1"/>
      <c r="B65" s="1"/>
      <c r="C65" s="1"/>
      <c r="D65" s="1"/>
      <c r="E65" s="1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1"/>
      <c r="AC65" s="40" t="s">
        <v>176</v>
      </c>
      <c r="AD65" s="38">
        <f>IF(AND($K$14&lt;0%,$K$12="ФЛ"),"-",IF($K$15=$AI$2,'48 мес '!C64,'48 мес  (аннуитет)'!C64))</f>
        <v>37.62712283704159</v>
      </c>
      <c r="AE65" s="38">
        <f>IF(AND($K$14&lt;0%,$K$12="ФЛ"),"-",IF($K$15=$AI$2,'48 мес '!D64+'48 мес '!E64+'48 мес '!F64,'48 мес  (аннуитет)'!D64+'48 мес  (аннуитет)'!E64+'48 мес  (аннуитет)'!F64))</f>
        <v>10.21254605628962</v>
      </c>
      <c r="AF65" s="37">
        <f t="shared" si="1"/>
        <v>47.839668893331208</v>
      </c>
      <c r="AG65" s="39"/>
      <c r="AJ65" s="4"/>
      <c r="BC65" s="3"/>
      <c r="BI65" s="1"/>
      <c r="BJ65" s="1"/>
      <c r="BK65" s="1"/>
      <c r="BL65" s="1"/>
      <c r="BM65" s="1"/>
      <c r="BN65" s="1"/>
    </row>
    <row r="66" spans="1:66" s="2" customFormat="1" ht="18.75">
      <c r="A66" s="1"/>
      <c r="B66" s="1"/>
      <c r="C66" s="1"/>
      <c r="D66" s="1"/>
      <c r="E66" s="1"/>
      <c r="F66" s="247" t="s">
        <v>177</v>
      </c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1"/>
      <c r="AC66" s="40" t="s">
        <v>178</v>
      </c>
      <c r="AD66" s="38">
        <f>IF(AND($K$14&lt;0%,$K$12="ФЛ"),"-",IF($K$15=$AI$2,'48 мес '!C65,'48 мес  (аннуитет)'!C65))</f>
        <v>39.163563686220783</v>
      </c>
      <c r="AE66" s="38">
        <f>IF(AND($K$14&lt;0%,$K$12="ФЛ"),"-",IF($K$15=$AI$2,'48 мес '!D65+'48 мес '!E65+'48 мес '!F65,'48 мес  (аннуитет)'!D65+'48 мес  (аннуитет)'!E65+'48 мес  (аннуитет)'!F65))</f>
        <v>8.676105207110421</v>
      </c>
      <c r="AF66" s="37">
        <f t="shared" si="1"/>
        <v>47.839668893331208</v>
      </c>
      <c r="AG66" s="39"/>
      <c r="AJ66" s="4"/>
      <c r="BC66" s="3"/>
      <c r="BI66" s="1"/>
      <c r="BJ66" s="1"/>
      <c r="BK66" s="1"/>
      <c r="BL66" s="1"/>
      <c r="BM66" s="1"/>
      <c r="BN66" s="1"/>
    </row>
    <row r="67" spans="1:66" s="2" customFormat="1" ht="15.75" customHeight="1">
      <c r="A67" s="1"/>
      <c r="B67" s="1"/>
      <c r="C67" s="1"/>
      <c r="D67" s="1"/>
      <c r="E67" s="1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1"/>
      <c r="AC67" s="40" t="s">
        <v>179</v>
      </c>
      <c r="AD67" s="38">
        <f>IF(AND($K$14&lt;0%,$K$12="ФЛ"),"-",IF($K$15=$AI$2,'48 мес '!C66,'48 мес  (аннуитет)'!C66))</f>
        <v>40.76274253674147</v>
      </c>
      <c r="AE67" s="38">
        <f>IF(AND($K$14&lt;0%,$K$12="ФЛ"),"-",IF($K$15=$AI$2,'48 мес '!D66+'48 мес '!E66+'48 мес '!F66,'48 мес  (аннуитет)'!D66+'48 мес  (аннуитет)'!E66+'48 мес  (аннуитет)'!F66))</f>
        <v>7.0769263565897385</v>
      </c>
      <c r="AF67" s="37">
        <f t="shared" si="1"/>
        <v>47.839668893331208</v>
      </c>
      <c r="AG67" s="39"/>
      <c r="AJ67" s="4"/>
      <c r="BC67" s="3"/>
      <c r="BI67" s="1"/>
      <c r="BJ67" s="1"/>
      <c r="BK67" s="1"/>
      <c r="BL67" s="1"/>
      <c r="BM67" s="1"/>
      <c r="BN67" s="1"/>
    </row>
    <row r="68" spans="1:66" s="2" customFormat="1" ht="15.75" customHeight="1">
      <c r="A68" s="1"/>
      <c r="B68" s="1"/>
      <c r="C68" s="1"/>
      <c r="D68" s="1"/>
      <c r="E68" s="1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1"/>
      <c r="AC68" s="40" t="s">
        <v>180</v>
      </c>
      <c r="AD68" s="38">
        <f>IF(AND($K$14&lt;0%,$K$12="ФЛ"),"-",IF($K$15=$AI$2,'48 мес '!C67,'48 мес  (аннуитет)'!C67))</f>
        <v>42.427221190325078</v>
      </c>
      <c r="AE68" s="38">
        <f>IF(AND($K$14&lt;0%,$K$12="ФЛ"),"-",IF($K$15=$AI$2,'48 мес '!D67+'48 мес '!E67+'48 мес '!F67,'48 мес  (аннуитет)'!D67+'48 мес  (аннуитет)'!E67+'48 мес  (аннуитет)'!F67))</f>
        <v>5.4124477030061291</v>
      </c>
      <c r="AF68" s="37">
        <f t="shared" si="1"/>
        <v>47.839668893331208</v>
      </c>
      <c r="AG68" s="39"/>
      <c r="AJ68" s="4"/>
      <c r="BC68" s="3"/>
      <c r="BI68" s="1"/>
      <c r="BJ68" s="1"/>
      <c r="BK68" s="1"/>
      <c r="BL68" s="1"/>
      <c r="BM68" s="1"/>
      <c r="BN68" s="1"/>
    </row>
    <row r="69" spans="1:66" s="2" customFormat="1" ht="15.75">
      <c r="A69" s="1"/>
      <c r="B69" s="1"/>
      <c r="C69" s="1"/>
      <c r="D69" s="1"/>
      <c r="E69" s="1"/>
      <c r="F69" s="242"/>
      <c r="G69" s="242"/>
      <c r="H69" s="242"/>
      <c r="I69" s="242"/>
      <c r="J69" s="242"/>
      <c r="K69" s="242"/>
      <c r="L69" s="242"/>
      <c r="M69" s="242"/>
      <c r="N69" s="242"/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1"/>
      <c r="AC69" s="40" t="s">
        <v>181</v>
      </c>
      <c r="AD69" s="38">
        <f>IF(AND($K$14&lt;0%,$K$12="ФЛ"),"-",IF($K$15=$AI$2,'48 мес '!C68,'48 мес  (аннуитет)'!C68))</f>
        <v>44.159666055596688</v>
      </c>
      <c r="AE69" s="38">
        <f>IF(AND($K$14&lt;0%,$K$12="ФЛ"),"-",IF($K$15=$AI$2,'48 мес '!D68+'48 мес '!E68+'48 мес '!F68,'48 мес  (аннуитет)'!D68+'48 мес  (аннуитет)'!E68+'48 мес  (аннуитет)'!F68))</f>
        <v>3.6800028377345222</v>
      </c>
      <c r="AF69" s="37">
        <f t="shared" si="1"/>
        <v>47.839668893331208</v>
      </c>
      <c r="AG69" s="39"/>
      <c r="AJ69" s="4"/>
      <c r="BC69" s="3"/>
      <c r="BI69" s="1"/>
      <c r="BJ69" s="1"/>
      <c r="BK69" s="1"/>
      <c r="BL69" s="1"/>
      <c r="BM69" s="1"/>
      <c r="BN69" s="1"/>
    </row>
    <row r="70" spans="1:66" s="2" customFormat="1" ht="15.75" customHeight="1">
      <c r="A70" s="1"/>
      <c r="B70" s="1"/>
      <c r="C70" s="1"/>
      <c r="D70" s="1"/>
      <c r="E70" s="1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1"/>
      <c r="AC70" s="243" t="s">
        <v>182</v>
      </c>
      <c r="AD70" s="38">
        <f>IF(AND($K$14&lt;0%,$K$12="ФЛ"),"-",IF($K$15=$AI$2,'48 мес '!C69,'48 мес  (аннуитет)'!C69))</f>
        <v>45.962852419533547</v>
      </c>
      <c r="AE70" s="38">
        <f>IF(AND($K$14&lt;0%,$K$12="ФЛ"),"-",IF($K$15=$AI$2,'48 мес '!D69+'48 мес '!E69+'48 мес '!F69,'48 мес  (аннуитет)'!D69+'48 мес  (аннуитет)'!E69+'48 мес  (аннуитет)'!F69))</f>
        <v>1.8768164737976576</v>
      </c>
      <c r="AF70" s="266">
        <f t="shared" si="1"/>
        <v>47.839668893331208</v>
      </c>
      <c r="AG70" s="39"/>
      <c r="AJ70" s="4"/>
      <c r="BC70" s="3"/>
      <c r="BI70" s="1"/>
      <c r="BJ70" s="1"/>
      <c r="BK70" s="1"/>
      <c r="BL70" s="1"/>
      <c r="BM70" s="1"/>
      <c r="BN70" s="1"/>
    </row>
    <row r="71" spans="1:66" ht="15.75" customHeight="1"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C71" s="244"/>
      <c r="AF71" s="267"/>
      <c r="AG71" s="39"/>
      <c r="AJ71" s="4"/>
    </row>
    <row r="72" spans="1:66" ht="15" customHeight="1"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C72" s="245"/>
      <c r="AD72" s="48"/>
      <c r="AE72" s="49"/>
      <c r="AF72" s="279"/>
      <c r="AG72" s="39"/>
      <c r="AJ72" s="4"/>
    </row>
    <row r="73" spans="1:66" ht="15.75" customHeight="1"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C73" s="245"/>
      <c r="AD73" s="49"/>
      <c r="AE73" s="49"/>
      <c r="AF73" s="279"/>
      <c r="AG73" s="39"/>
      <c r="AJ73" s="4"/>
    </row>
    <row r="74" spans="1:66" ht="15.75" customHeight="1"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G74" s="39"/>
      <c r="AJ74" s="4"/>
    </row>
    <row r="75" spans="1:66" ht="15.75">
      <c r="F75" s="55"/>
      <c r="G75" s="55"/>
      <c r="H75" s="55"/>
      <c r="I75" s="55"/>
      <c r="J75" s="55"/>
      <c r="K75" s="55"/>
      <c r="AG75" s="39"/>
      <c r="AJ75" s="4"/>
    </row>
    <row r="76" spans="1:66">
      <c r="AG76" s="39"/>
      <c r="AJ76" s="4"/>
    </row>
    <row r="77" spans="1:66">
      <c r="K77" s="39"/>
      <c r="L77" s="2"/>
      <c r="M77" s="2"/>
      <c r="N77" s="4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I77" s="3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1:66">
      <c r="K78" s="39"/>
      <c r="L78" s="2"/>
      <c r="M78" s="2"/>
      <c r="N78" s="4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I78" s="3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1:66">
      <c r="K79" s="39"/>
      <c r="L79" s="2"/>
      <c r="M79" s="2"/>
      <c r="N79" s="4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I79" s="3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1:66">
      <c r="K80" s="39"/>
      <c r="L80" s="2"/>
      <c r="M80" s="2"/>
      <c r="N80" s="4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I80" s="3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11:56">
      <c r="K81" s="39"/>
      <c r="L81" s="2"/>
      <c r="M81" s="2"/>
      <c r="N81" s="4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I81" s="3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11:56">
      <c r="K82" s="39"/>
      <c r="L82" s="2"/>
      <c r="M82" s="2"/>
      <c r="N82" s="4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I82" s="3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11:56">
      <c r="K83" s="57"/>
      <c r="L83" s="2"/>
      <c r="M83" s="2"/>
      <c r="N83" s="4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I83" s="3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11:56" ht="15.75" customHeight="1">
      <c r="L84" s="2"/>
      <c r="M84" s="2"/>
      <c r="N84" s="4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I84" s="3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11:56">
      <c r="K85" s="58"/>
      <c r="L85" s="2"/>
      <c r="M85" s="2"/>
      <c r="N85" s="4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I85" s="3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11:56" ht="15.75" customHeight="1">
      <c r="L86" s="2"/>
      <c r="M86" s="2"/>
      <c r="N86" s="4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I86" s="3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11:56">
      <c r="L87" s="2"/>
      <c r="M87" s="2"/>
      <c r="N87" s="4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I87" s="3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11:56" ht="15.75" customHeight="1">
      <c r="L88" s="2"/>
      <c r="M88" s="2"/>
      <c r="N88" s="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I88" s="3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11:56"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I89" s="3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11:56" ht="15.75" customHeight="1"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I90" s="3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11:56">
      <c r="L91" s="2"/>
      <c r="M91" s="2"/>
      <c r="N91" s="2"/>
      <c r="O91" s="59"/>
      <c r="P91" s="59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I91" s="3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11:56" ht="15.75" customHeight="1"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I92" s="3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11:56"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I93" s="3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11:56"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I94" s="3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11:56"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I95" s="3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11:56"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I96" s="3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12:56"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I97" s="3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12:56" ht="15.75" customHeight="1"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I98" s="3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12:56" ht="15.75" customHeight="1"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I99" s="3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12:56"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I100" s="3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12:56" ht="15.75" customHeight="1"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I101" s="3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12:56"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I102" s="3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12:56" ht="15.75" customHeight="1"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I103" s="3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12:56"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I104" s="3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12:56" ht="15.75" customHeight="1"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I105" s="3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12:56" ht="15.75" customHeight="1"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I106" s="3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12:56" ht="13.5" customHeight="1"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I107" s="3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12:56"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I108" s="3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12:56"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I109" s="3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12:56"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I110" s="3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12:56"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I111" s="3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12:56"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I112" s="3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12:56"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I113" s="3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12:56"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I114" s="3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12:56"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I115" s="3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12:56"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I116" s="3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12:56"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I117" s="3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</sheetData>
  <mergeCells count="49">
    <mergeCell ref="AF70:AF71"/>
    <mergeCell ref="L40:L41"/>
    <mergeCell ref="R19:V19"/>
    <mergeCell ref="F11:I11"/>
    <mergeCell ref="F73:AA73"/>
    <mergeCell ref="F71:AA71"/>
    <mergeCell ref="Q14:X14"/>
    <mergeCell ref="F19:J19"/>
    <mergeCell ref="K11:O11"/>
    <mergeCell ref="K12:O12"/>
    <mergeCell ref="F12:I12"/>
    <mergeCell ref="K16:O16"/>
    <mergeCell ref="L19:P19"/>
    <mergeCell ref="R46:R47"/>
    <mergeCell ref="AF72:AF73"/>
    <mergeCell ref="F13:I13"/>
    <mergeCell ref="I4:O4"/>
    <mergeCell ref="F34:F35"/>
    <mergeCell ref="X19:AB19"/>
    <mergeCell ref="K15:O15"/>
    <mergeCell ref="D2:AG3"/>
    <mergeCell ref="Q4:R4"/>
    <mergeCell ref="K13:O13"/>
    <mergeCell ref="I8:O8"/>
    <mergeCell ref="Q9:R9"/>
    <mergeCell ref="I9:O9"/>
    <mergeCell ref="W5:AF9"/>
    <mergeCell ref="Q6:R6"/>
    <mergeCell ref="I6:O6"/>
    <mergeCell ref="Q8:R8"/>
    <mergeCell ref="I7:O7"/>
    <mergeCell ref="K14:O14"/>
    <mergeCell ref="AC72:AC73"/>
    <mergeCell ref="F62:AA65"/>
    <mergeCell ref="F66:AA66"/>
    <mergeCell ref="F16:I16"/>
    <mergeCell ref="Q5:R5"/>
    <mergeCell ref="AC70:AC71"/>
    <mergeCell ref="F67:AA67"/>
    <mergeCell ref="F68:AA68"/>
    <mergeCell ref="F14:I14"/>
    <mergeCell ref="Q7:R7"/>
    <mergeCell ref="I5:O5"/>
    <mergeCell ref="F15:I15"/>
    <mergeCell ref="F74:AA74"/>
    <mergeCell ref="F69:AA69"/>
    <mergeCell ref="F70:AA70"/>
    <mergeCell ref="X58:X59"/>
    <mergeCell ref="F72:AA72"/>
  </mergeCells>
  <conditionalFormatting sqref="T17:V17">
    <cfRule type="containsText" dxfId="121" priority="4" operator="containsText" text="Укажите аванс от 20%">
      <formula>NOT(ISERROR(SEARCH("Укажите аванс от 20%",T17)))</formula>
    </cfRule>
  </conditionalFormatting>
  <conditionalFormatting sqref="K14:P14">
    <cfRule type="cellIs" dxfId="120" priority="1" operator="greaterThan">
      <formula>0.4</formula>
    </cfRule>
  </conditionalFormatting>
  <conditionalFormatting sqref="Z17:AA17">
    <cfRule type="containsText" dxfId="119" priority="3" operator="containsText" text="Укажите аванс от 20%">
      <formula>NOT(ISERROR(SEARCH("Укажите аванс от 20%",Z17)))</formula>
    </cfRule>
  </conditionalFormatting>
  <conditionalFormatting sqref="H17">
    <cfRule type="containsText" dxfId="118" priority="6" operator="containsText" text="укажите аванс от 20%">
      <formula>NOT(ISERROR(SEARCH("укажите аванс от 20%",H17)))</formula>
    </cfRule>
  </conditionalFormatting>
  <conditionalFormatting sqref="N17:P17">
    <cfRule type="containsText" dxfId="117" priority="5" operator="containsText" text="Укажите аванс от 20%">
      <formula>NOT(ISERROR(SEARCH("Укажите аванс от 20%",N17)))</formula>
    </cfRule>
  </conditionalFormatting>
  <conditionalFormatting sqref="AE17:AG17">
    <cfRule type="containsText" dxfId="116" priority="2" operator="containsText" text="Укажите аванс от 20%">
      <formula>NOT(ISERROR(SEARCH("Укажите аванс от 20%",AE17)))</formula>
    </cfRule>
  </conditionalFormatting>
  <dataValidations count="5">
    <dataValidation type="custom" allowBlank="1" showInputMessage="1" showErrorMessage="1" sqref="K11:P11" xr:uid="{00000000-0002-0000-0000-000000000000}">
      <formula1>300</formula1>
    </dataValidation>
    <dataValidation type="list" allowBlank="1" showInputMessage="1" showErrorMessage="1" sqref="K15" xr:uid="{00000000-0002-0000-0000-000001000000}">
      <formula1>$BC$1:$BC$2</formula1>
    </dataValidation>
    <dataValidation type="whole" operator="lessThan" allowBlank="1" showInputMessage="1" showErrorMessage="1" errorTitle="Аванс не может превышать 40%" sqref="K14:P14" xr:uid="{00000000-0002-0000-0000-000002000000}">
      <formula1>K14&gt;40%</formula1>
    </dataValidation>
    <dataValidation type="custom" allowBlank="1" showInputMessage="1" showErrorMessage="1" errorTitle="Аванс больше 40%" error="Аванс больше 40%. Уменьшите сумму аванса.  " sqref="K13:P13" xr:uid="{00000000-0002-0000-0000-000003000000}">
      <formula1>K13/K11&lt;40.00001%</formula1>
    </dataValidation>
    <dataValidation type="list" allowBlank="1" showInputMessage="1" showErrorMessage="1" sqref="K16:P16" xr:uid="{00000000-0002-0000-0000-000004000000}">
      <formula1>$BF$2:$BF$5</formula1>
    </dataValidation>
  </dataValidations>
  <pageMargins left="0.62992125984251968" right="0.23622047244094491" top="0.35433070866141736" bottom="0.35433070866141736" header="0.11811023622047245" footer="0.11811023622047245"/>
  <pageSetup paperSize="9" scale="61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07"/>
  <sheetViews>
    <sheetView zoomScale="70" workbookViewId="0">
      <selection activeCell="F5" sqref="F5"/>
    </sheetView>
  </sheetViews>
  <sheetFormatPr defaultColWidth="9.140625" defaultRowHeight="15"/>
  <cols>
    <col min="1" max="1" width="9.140625" style="71"/>
    <col min="2" max="2" width="11.140625" style="71" customWidth="1"/>
    <col min="3" max="3" width="10.42578125" style="71" bestFit="1" customWidth="1"/>
    <col min="4" max="7" width="9.28515625" style="71" bestFit="1" customWidth="1"/>
    <col min="8" max="8" width="10.42578125" style="71" bestFit="1" customWidth="1"/>
    <col min="9" max="10" width="9.28515625" style="71" bestFit="1" customWidth="1"/>
    <col min="11" max="11" width="11.42578125" style="71" customWidth="1"/>
    <col min="12" max="12" width="9.28515625" style="71" bestFit="1" customWidth="1"/>
    <col min="13" max="13" width="10.42578125" style="71" bestFit="1" customWidth="1"/>
    <col min="14" max="14" width="9.85546875" style="71" bestFit="1" customWidth="1"/>
    <col min="15" max="19" width="9.140625" style="71"/>
    <col min="20" max="20" width="16.5703125" style="71" customWidth="1"/>
    <col min="21" max="16384" width="9.140625" style="71"/>
  </cols>
  <sheetData>
    <row r="1" spans="1:18" ht="18.75">
      <c r="A1" s="72"/>
      <c r="F1" s="74"/>
      <c r="R1" s="71" t="s">
        <v>115</v>
      </c>
    </row>
    <row r="2" spans="1:18" ht="18.75">
      <c r="A2" s="72"/>
      <c r="F2" s="75"/>
      <c r="R2" s="71" t="s">
        <v>116</v>
      </c>
    </row>
    <row r="5" spans="1:18">
      <c r="A5" s="73" t="s">
        <v>68</v>
      </c>
      <c r="F5" s="119">
        <f>'Калькулятор 12-48 мес'!K11</f>
        <v>1000</v>
      </c>
      <c r="H5" s="73"/>
      <c r="I5" s="73"/>
      <c r="J5" s="73"/>
      <c r="K5" s="73" t="s">
        <v>69</v>
      </c>
    </row>
    <row r="6" spans="1:18">
      <c r="A6" s="73" t="s">
        <v>70</v>
      </c>
      <c r="F6" s="120">
        <f>'Калькулятор 12-48 мес'!K14</f>
        <v>0</v>
      </c>
      <c r="G6" s="119">
        <f>F5*F6</f>
        <v>0</v>
      </c>
      <c r="I6" s="71" t="s">
        <v>71</v>
      </c>
      <c r="K6" s="93">
        <v>44927</v>
      </c>
      <c r="O6" s="73" t="s">
        <v>72</v>
      </c>
      <c r="P6" s="73"/>
      <c r="Q6" s="73" t="s">
        <v>73</v>
      </c>
      <c r="R6" s="73" t="s">
        <v>74</v>
      </c>
    </row>
    <row r="7" spans="1:18">
      <c r="A7" s="73" t="s">
        <v>75</v>
      </c>
      <c r="F7" s="119">
        <v>36</v>
      </c>
      <c r="I7" s="71" t="s">
        <v>76</v>
      </c>
      <c r="O7" s="71">
        <v>1</v>
      </c>
      <c r="P7" s="71" t="s">
        <v>77</v>
      </c>
      <c r="Q7" s="78">
        <v>2.0199999999999999E-2</v>
      </c>
      <c r="R7" s="78">
        <f>2.02%*1.22</f>
        <v>2.4643999999999999E-2</v>
      </c>
    </row>
    <row r="8" spans="1:18">
      <c r="A8" s="73" t="s">
        <v>78</v>
      </c>
      <c r="F8" s="79">
        <v>0</v>
      </c>
      <c r="L8" s="71" t="s">
        <v>79</v>
      </c>
      <c r="M8" s="71" t="s">
        <v>80</v>
      </c>
      <c r="O8" s="71">
        <v>2</v>
      </c>
      <c r="P8" s="71" t="s">
        <v>81</v>
      </c>
      <c r="Q8" s="79">
        <f>2.07%*0.8</f>
        <v>1.6560000000000002E-2</v>
      </c>
      <c r="R8" s="79">
        <f>2.07%*0.8*1.22</f>
        <v>2.0203200000000001E-2</v>
      </c>
    </row>
    <row r="9" spans="1:18">
      <c r="A9" s="73" t="s">
        <v>82</v>
      </c>
      <c r="F9" s="119" t="s">
        <v>76</v>
      </c>
      <c r="I9" s="71" t="s">
        <v>83</v>
      </c>
      <c r="K9" s="71" t="s">
        <v>84</v>
      </c>
      <c r="L9" s="79">
        <v>0</v>
      </c>
      <c r="M9" s="119">
        <v>0</v>
      </c>
      <c r="O9" s="71">
        <v>3</v>
      </c>
      <c r="P9" s="71" t="s">
        <v>85</v>
      </c>
      <c r="Q9" s="79">
        <f>2.33%*0.7</f>
        <v>1.6310000000000002E-2</v>
      </c>
      <c r="R9" s="79">
        <f>2.33%*0.7*1.22</f>
        <v>1.9898200000000001E-2</v>
      </c>
    </row>
    <row r="10" spans="1:18">
      <c r="A10" s="73" t="s">
        <v>86</v>
      </c>
      <c r="F10" s="121">
        <v>3</v>
      </c>
      <c r="I10" s="71" t="s">
        <v>87</v>
      </c>
      <c r="K10" s="71" t="s">
        <v>88</v>
      </c>
      <c r="L10" s="79"/>
      <c r="M10" s="119">
        <v>0.1</v>
      </c>
      <c r="O10" s="71">
        <v>4</v>
      </c>
      <c r="P10" s="71" t="s">
        <v>89</v>
      </c>
      <c r="Q10" s="79">
        <f>2.76%*0.6</f>
        <v>1.6559999999999998E-2</v>
      </c>
      <c r="R10" s="79">
        <f>2.76%*0.6*1.22</f>
        <v>2.0203199999999998E-2</v>
      </c>
    </row>
    <row r="11" spans="1:18">
      <c r="A11" s="73"/>
      <c r="F11" s="121">
        <v>3</v>
      </c>
      <c r="L11" s="79"/>
      <c r="M11" s="119"/>
      <c r="Q11" s="79"/>
    </row>
    <row r="12" spans="1:18">
      <c r="A12" s="73" t="s">
        <v>90</v>
      </c>
      <c r="F12" s="119" t="s">
        <v>87</v>
      </c>
      <c r="O12" s="71">
        <v>5</v>
      </c>
      <c r="P12" s="71" t="s">
        <v>91</v>
      </c>
      <c r="Q12" s="79">
        <f>3.03%*0.5</f>
        <v>1.5149999999999999E-2</v>
      </c>
      <c r="R12" s="79">
        <f>3.03%*0.5*1.22</f>
        <v>1.8482999999999999E-2</v>
      </c>
    </row>
    <row r="13" spans="1:18">
      <c r="A13" s="73" t="s">
        <v>92</v>
      </c>
      <c r="F13" s="79">
        <v>0</v>
      </c>
      <c r="G13" s="79"/>
      <c r="I13" s="71" t="s">
        <v>93</v>
      </c>
      <c r="K13" s="73" t="s">
        <v>94</v>
      </c>
      <c r="O13" s="71">
        <v>6</v>
      </c>
      <c r="P13" s="71" t="s">
        <v>95</v>
      </c>
      <c r="Q13" s="78">
        <f>Q12</f>
        <v>1.5149999999999999E-2</v>
      </c>
      <c r="R13" s="78">
        <f>Q13</f>
        <v>1.5149999999999999E-2</v>
      </c>
    </row>
    <row r="14" spans="1:18">
      <c r="A14" s="73" t="s">
        <v>96</v>
      </c>
      <c r="F14" s="76">
        <v>0.49</v>
      </c>
      <c r="G14" s="79"/>
      <c r="I14" s="71" t="s">
        <v>2</v>
      </c>
      <c r="K14" s="79">
        <v>0</v>
      </c>
      <c r="O14" s="71">
        <v>7</v>
      </c>
      <c r="P14" s="71" t="s">
        <v>97</v>
      </c>
      <c r="Q14" s="78">
        <f>Q13</f>
        <v>1.5149999999999999E-2</v>
      </c>
      <c r="R14" s="78">
        <f>R13</f>
        <v>1.5149999999999999E-2</v>
      </c>
    </row>
    <row r="15" spans="1:18">
      <c r="A15" s="73" t="s">
        <v>98</v>
      </c>
      <c r="F15" s="79">
        <v>0</v>
      </c>
      <c r="G15" s="79"/>
    </row>
    <row r="16" spans="1:18">
      <c r="A16" s="73" t="s">
        <v>99</v>
      </c>
      <c r="F16" s="79">
        <f>XIRR(M20:M104,B20:B104)</f>
        <v>0.81067088842391977</v>
      </c>
    </row>
    <row r="17" spans="1:20">
      <c r="O17" s="78"/>
      <c r="P17" s="78"/>
      <c r="R17" s="71" t="str">
        <f>'Калькулятор 12-48 мес'!K12</f>
        <v>ФЛ</v>
      </c>
      <c r="S17" s="71" t="s">
        <v>100</v>
      </c>
    </row>
    <row r="18" spans="1:20">
      <c r="A18" s="92">
        <f>LARGE(A20:A1048576,1)</f>
        <v>84</v>
      </c>
      <c r="B18" s="92">
        <f>IF(A18&lt;F7,"протяните формулы",0)</f>
        <v>0</v>
      </c>
      <c r="C18" s="92">
        <f>SUM(C20:C104)</f>
        <v>1283.9711272921268</v>
      </c>
      <c r="D18" s="92">
        <f t="shared" ref="D18:M18" si="0">SUM(D20:D104)</f>
        <v>925.95669093818992</v>
      </c>
      <c r="E18" s="92">
        <f t="shared" si="0"/>
        <v>0</v>
      </c>
      <c r="F18" s="92">
        <f t="shared" si="0"/>
        <v>0</v>
      </c>
      <c r="G18" s="92">
        <f t="shared" si="0"/>
        <v>0</v>
      </c>
      <c r="H18" s="92">
        <f t="shared" si="0"/>
        <v>2209.9278182303165</v>
      </c>
      <c r="I18" s="94"/>
      <c r="J18" s="92">
        <f t="shared" si="0"/>
        <v>0</v>
      </c>
      <c r="K18" s="92">
        <f t="shared" si="0"/>
        <v>0</v>
      </c>
      <c r="L18" s="92">
        <f t="shared" si="0"/>
        <v>0</v>
      </c>
      <c r="M18" s="92">
        <f t="shared" si="0"/>
        <v>2209.9278182303165</v>
      </c>
      <c r="O18" s="122"/>
      <c r="P18" s="122"/>
    </row>
    <row r="19" spans="1:20" ht="76.5">
      <c r="A19" s="123" t="s">
        <v>101</v>
      </c>
      <c r="B19" s="123" t="s">
        <v>102</v>
      </c>
      <c r="C19" s="123" t="s">
        <v>103</v>
      </c>
      <c r="D19" s="123" t="s">
        <v>104</v>
      </c>
      <c r="E19" s="123" t="s">
        <v>105</v>
      </c>
      <c r="F19" s="123" t="s">
        <v>106</v>
      </c>
      <c r="G19" s="123" t="s">
        <v>107</v>
      </c>
      <c r="H19" s="123" t="s">
        <v>108</v>
      </c>
      <c r="I19" s="85" t="s">
        <v>109</v>
      </c>
      <c r="J19" s="123" t="s">
        <v>84</v>
      </c>
      <c r="K19" s="123" t="s">
        <v>110</v>
      </c>
      <c r="L19" s="123" t="s">
        <v>111</v>
      </c>
      <c r="M19" s="123" t="s">
        <v>112</v>
      </c>
      <c r="N19" s="123" t="s">
        <v>113</v>
      </c>
      <c r="O19" s="78"/>
      <c r="P19" s="78"/>
      <c r="Q19" s="88"/>
      <c r="R19" s="88"/>
      <c r="S19" s="88"/>
      <c r="T19" s="71" t="s">
        <v>117</v>
      </c>
    </row>
    <row r="20" spans="1:20">
      <c r="A20" s="124">
        <v>0</v>
      </c>
      <c r="B20" s="93">
        <v>45464</v>
      </c>
      <c r="C20" s="94">
        <f>IF(F6&gt;=40%,-(F5*60%),-(F5*(1-F6)))</f>
        <v>-1000</v>
      </c>
      <c r="D20" s="94"/>
      <c r="E20" s="94"/>
      <c r="F20" s="94"/>
      <c r="G20" s="94"/>
      <c r="H20" s="94">
        <f>SUM(C20:G20)</f>
        <v>-1000</v>
      </c>
      <c r="I20" s="94">
        <f>C20*20/120</f>
        <v>-166.66666666666666</v>
      </c>
      <c r="J20" s="94">
        <f>-F5*L9</f>
        <v>0</v>
      </c>
      <c r="K20" s="94">
        <f>-F5*L10</f>
        <v>0</v>
      </c>
      <c r="L20" s="94">
        <f>F5*F8</f>
        <v>0</v>
      </c>
      <c r="M20" s="95">
        <f>SUM(C20,D20,G20,J20,K20,L20)</f>
        <v>-1000</v>
      </c>
      <c r="N20" s="94">
        <f>-C20</f>
        <v>1000</v>
      </c>
      <c r="O20" s="78"/>
      <c r="P20" s="78"/>
    </row>
    <row r="21" spans="1:20">
      <c r="A21" s="92">
        <f>A20+1</f>
        <v>1</v>
      </c>
      <c r="B21" s="93">
        <f>EOMONTH(B20,0)+DAY(B20)</f>
        <v>45494</v>
      </c>
      <c r="C21" s="94">
        <f>T21-D21-E21</f>
        <v>12.665463637171939</v>
      </c>
      <c r="D21" s="94">
        <f t="shared" ref="D21:D84" si="1">IF(A21&lt;=$F$7,IF($F$12=$I$9,$F$5*$F$13,N20*$F$14/12),0)+-IF(AND(A21&lt;=$M$9,$M$9&lt;&gt;0),$J$20/$M$9,0)+-IF(AND(A21&lt;=$M$10,$M$10&lt;&gt;0),$K$20/$M$10,0)</f>
        <v>40.833333333333336</v>
      </c>
      <c r="E21" s="94">
        <f>IF($R$17="ЮЛ",D21*0.2,0)</f>
        <v>0</v>
      </c>
      <c r="F21" s="94">
        <f>IF(AND(A21&lt;=$F$7,$S$17="ДА"),($F$5*VLOOKUP(ROUNDUP(A21/12,0),$O$7:$Q$14,3,0)/12),0)</f>
        <v>0</v>
      </c>
      <c r="G21" s="94">
        <v>0</v>
      </c>
      <c r="H21" s="94">
        <f>SUM(C21:G21)+SUM(C21:G21)*$F$15</f>
        <v>53.498796970505275</v>
      </c>
      <c r="I21" s="94">
        <f t="shared" ref="I21:I84" si="2">C21*20/120</f>
        <v>2.1109106061953233</v>
      </c>
      <c r="J21" s="94"/>
      <c r="K21" s="94"/>
      <c r="L21" s="94"/>
      <c r="M21" s="95">
        <f t="shared" ref="M21:M84" si="3">SUM(C21,D21,G21,J21,K21,L21)</f>
        <v>53.498796970505275</v>
      </c>
      <c r="N21" s="94">
        <f t="shared" ref="N21:N84" si="4">N20-C21</f>
        <v>987.33453636282809</v>
      </c>
      <c r="O21" s="78"/>
      <c r="P21" s="78"/>
      <c r="T21" s="98">
        <f>IF($R$17=$R$1,PMT($F$14/12,$F$7,-($F$5-$G$6),$F$5*$K$14,0)+$F$5*$L$10/$M$10,PMT($F$14/12*1.2,$F$7,-($F$5-$G$6),$F$5*$K$14,0)+$F$5*$L$10/$M$10)</f>
        <v>53.498796970505275</v>
      </c>
    </row>
    <row r="22" spans="1:20">
      <c r="A22" s="92">
        <v>2</v>
      </c>
      <c r="B22" s="93">
        <f t="shared" ref="B22:B85" si="5">EOMONTH(B21,0)+DAY(B21)</f>
        <v>45525</v>
      </c>
      <c r="C22" s="94">
        <f t="shared" ref="C22:C80" si="6">T22-D22-E22</f>
        <v>13.182636735689798</v>
      </c>
      <c r="D22" s="94">
        <f t="shared" si="1"/>
        <v>40.316160234815477</v>
      </c>
      <c r="E22" s="94">
        <f t="shared" ref="E22:E85" si="7">IF($R$17="ЮЛ",D22*0.2,0)</f>
        <v>0</v>
      </c>
      <c r="F22" s="94">
        <f t="shared" ref="F22:F85" si="8">IF(AND(A22&lt;=$F$7,$S$17="ДА"),($F$5*VLOOKUP(ROUNDUP(A22/12,0),$O$7:$Q$14,3,0)/12),0)</f>
        <v>0</v>
      </c>
      <c r="G22" s="94">
        <v>0</v>
      </c>
      <c r="H22" s="94">
        <f t="shared" ref="H22:H85" si="9">SUM(C22:G22)+SUM(C22:G22)*$F$15</f>
        <v>53.498796970505275</v>
      </c>
      <c r="I22" s="94">
        <f t="shared" si="2"/>
        <v>2.1971061226149664</v>
      </c>
      <c r="J22" s="94"/>
      <c r="K22" s="94"/>
      <c r="L22" s="94"/>
      <c r="M22" s="95">
        <f t="shared" si="3"/>
        <v>53.498796970505275</v>
      </c>
      <c r="N22" s="94">
        <f t="shared" si="4"/>
        <v>974.15189962713828</v>
      </c>
      <c r="O22" s="78"/>
      <c r="P22" s="78"/>
      <c r="T22" s="98">
        <f t="shared" ref="T22:T80" si="10">IF($R$17=$R$1,PMT($F$14/12,$F$7,-($F$5-$G$6),$F$5*$K$14,0)+$F$5*$L$10/$M$10,PMT($F$14/12*1.2,$F$7,-($F$5-$G$6),$F$5*$K$14,0)+$F$5*$L$10/$M$10)</f>
        <v>53.498796970505275</v>
      </c>
    </row>
    <row r="23" spans="1:20">
      <c r="A23" s="92">
        <v>3</v>
      </c>
      <c r="B23" s="93">
        <f t="shared" si="5"/>
        <v>45556</v>
      </c>
      <c r="C23" s="94">
        <f t="shared" si="6"/>
        <v>13.720927735730463</v>
      </c>
      <c r="D23" s="94">
        <f t="shared" si="1"/>
        <v>39.777869234774812</v>
      </c>
      <c r="E23" s="94">
        <f t="shared" si="7"/>
        <v>0</v>
      </c>
      <c r="F23" s="94">
        <f t="shared" si="8"/>
        <v>0</v>
      </c>
      <c r="G23" s="94">
        <v>0</v>
      </c>
      <c r="H23" s="94">
        <f t="shared" si="9"/>
        <v>53.498796970505275</v>
      </c>
      <c r="I23" s="94">
        <f t="shared" si="2"/>
        <v>2.2868212892884108</v>
      </c>
      <c r="J23" s="94"/>
      <c r="K23" s="94"/>
      <c r="L23" s="94"/>
      <c r="M23" s="95">
        <f t="shared" si="3"/>
        <v>53.498796970505275</v>
      </c>
      <c r="N23" s="94">
        <f t="shared" si="4"/>
        <v>960.43097189140781</v>
      </c>
      <c r="O23" s="78"/>
      <c r="P23" s="78"/>
      <c r="T23" s="98">
        <f t="shared" si="10"/>
        <v>53.498796970505275</v>
      </c>
    </row>
    <row r="24" spans="1:20">
      <c r="A24" s="92">
        <v>4</v>
      </c>
      <c r="B24" s="93">
        <f t="shared" si="5"/>
        <v>45586</v>
      </c>
      <c r="C24" s="94">
        <f t="shared" si="6"/>
        <v>14.281198951606122</v>
      </c>
      <c r="D24" s="94">
        <f t="shared" si="1"/>
        <v>39.217598018899153</v>
      </c>
      <c r="E24" s="94">
        <f t="shared" si="7"/>
        <v>0</v>
      </c>
      <c r="F24" s="94">
        <f t="shared" si="8"/>
        <v>0</v>
      </c>
      <c r="G24" s="94">
        <v>0</v>
      </c>
      <c r="H24" s="94">
        <f t="shared" si="9"/>
        <v>53.498796970505275</v>
      </c>
      <c r="I24" s="94">
        <f t="shared" si="2"/>
        <v>2.3801998252676868</v>
      </c>
      <c r="J24" s="94"/>
      <c r="K24" s="94"/>
      <c r="L24" s="94"/>
      <c r="M24" s="95">
        <f t="shared" si="3"/>
        <v>53.498796970505275</v>
      </c>
      <c r="N24" s="94">
        <f t="shared" si="4"/>
        <v>946.14977293980166</v>
      </c>
      <c r="O24" s="78"/>
      <c r="P24" s="78"/>
      <c r="T24" s="98">
        <f t="shared" si="10"/>
        <v>53.498796970505275</v>
      </c>
    </row>
    <row r="25" spans="1:20">
      <c r="A25" s="92">
        <v>5</v>
      </c>
      <c r="B25" s="93">
        <f t="shared" si="5"/>
        <v>45617</v>
      </c>
      <c r="C25" s="94">
        <f t="shared" si="6"/>
        <v>14.864347908796709</v>
      </c>
      <c r="D25" s="94">
        <f t="shared" si="1"/>
        <v>38.634449061708565</v>
      </c>
      <c r="E25" s="94">
        <f t="shared" si="7"/>
        <v>0</v>
      </c>
      <c r="F25" s="94">
        <f t="shared" si="8"/>
        <v>0</v>
      </c>
      <c r="G25" s="94">
        <v>0</v>
      </c>
      <c r="H25" s="94">
        <f t="shared" si="9"/>
        <v>53.498796970505275</v>
      </c>
      <c r="I25" s="94">
        <f t="shared" si="2"/>
        <v>2.4773913181327845</v>
      </c>
      <c r="J25" s="94"/>
      <c r="K25" s="94"/>
      <c r="L25" s="94"/>
      <c r="M25" s="95">
        <f t="shared" si="3"/>
        <v>53.498796970505275</v>
      </c>
      <c r="N25" s="94">
        <f t="shared" si="4"/>
        <v>931.28542503100493</v>
      </c>
      <c r="T25" s="98">
        <f t="shared" si="10"/>
        <v>53.498796970505275</v>
      </c>
    </row>
    <row r="26" spans="1:20">
      <c r="A26" s="92">
        <v>6</v>
      </c>
      <c r="B26" s="93">
        <f t="shared" si="5"/>
        <v>45647</v>
      </c>
      <c r="C26" s="94">
        <f t="shared" si="6"/>
        <v>15.471308781739239</v>
      </c>
      <c r="D26" s="94">
        <f t="shared" si="1"/>
        <v>38.027488188766036</v>
      </c>
      <c r="E26" s="94">
        <f t="shared" si="7"/>
        <v>0</v>
      </c>
      <c r="F26" s="94">
        <f t="shared" si="8"/>
        <v>0</v>
      </c>
      <c r="G26" s="94">
        <v>0</v>
      </c>
      <c r="H26" s="94">
        <f t="shared" si="9"/>
        <v>53.498796970505275</v>
      </c>
      <c r="I26" s="94">
        <f t="shared" si="2"/>
        <v>2.5785514636232065</v>
      </c>
      <c r="J26" s="94"/>
      <c r="K26" s="94"/>
      <c r="L26" s="94"/>
      <c r="M26" s="95">
        <f t="shared" si="3"/>
        <v>53.498796970505275</v>
      </c>
      <c r="N26" s="94">
        <f t="shared" si="4"/>
        <v>915.81411624926568</v>
      </c>
      <c r="T26" s="98">
        <f t="shared" si="10"/>
        <v>53.498796970505275</v>
      </c>
    </row>
    <row r="27" spans="1:20">
      <c r="A27" s="92">
        <v>7</v>
      </c>
      <c r="B27" s="93">
        <f t="shared" si="5"/>
        <v>45678</v>
      </c>
      <c r="C27" s="94">
        <f t="shared" si="6"/>
        <v>16.103053890326926</v>
      </c>
      <c r="D27" s="94">
        <f t="shared" si="1"/>
        <v>37.395743080178349</v>
      </c>
      <c r="E27" s="94">
        <f t="shared" si="7"/>
        <v>0</v>
      </c>
      <c r="F27" s="94">
        <f t="shared" si="8"/>
        <v>0</v>
      </c>
      <c r="G27" s="94">
        <v>0</v>
      </c>
      <c r="H27" s="94">
        <f t="shared" si="9"/>
        <v>53.498796970505275</v>
      </c>
      <c r="I27" s="94">
        <f t="shared" si="2"/>
        <v>2.6838423150544872</v>
      </c>
      <c r="J27" s="94"/>
      <c r="K27" s="94"/>
      <c r="L27" s="94"/>
      <c r="M27" s="95">
        <f t="shared" si="3"/>
        <v>53.498796970505275</v>
      </c>
      <c r="N27" s="94">
        <f t="shared" si="4"/>
        <v>899.71106235893876</v>
      </c>
      <c r="T27" s="98">
        <f t="shared" si="10"/>
        <v>53.498796970505275</v>
      </c>
    </row>
    <row r="28" spans="1:20">
      <c r="A28" s="92">
        <v>8</v>
      </c>
      <c r="B28" s="93">
        <f t="shared" si="5"/>
        <v>45709</v>
      </c>
      <c r="C28" s="94">
        <f t="shared" si="6"/>
        <v>16.760595257515277</v>
      </c>
      <c r="D28" s="94">
        <f t="shared" si="1"/>
        <v>36.738201712989998</v>
      </c>
      <c r="E28" s="94">
        <f t="shared" si="7"/>
        <v>0</v>
      </c>
      <c r="F28" s="94">
        <f t="shared" si="8"/>
        <v>0</v>
      </c>
      <c r="G28" s="94">
        <v>0</v>
      </c>
      <c r="H28" s="94">
        <f t="shared" si="9"/>
        <v>53.498796970505275</v>
      </c>
      <c r="I28" s="94">
        <f t="shared" si="2"/>
        <v>2.7934325429192128</v>
      </c>
      <c r="J28" s="94"/>
      <c r="K28" s="94"/>
      <c r="L28" s="94"/>
      <c r="M28" s="95">
        <f t="shared" si="3"/>
        <v>53.498796970505275</v>
      </c>
      <c r="N28" s="94">
        <f t="shared" si="4"/>
        <v>882.95046710142344</v>
      </c>
      <c r="T28" s="98">
        <f t="shared" si="10"/>
        <v>53.498796970505275</v>
      </c>
    </row>
    <row r="29" spans="1:20">
      <c r="A29" s="92">
        <v>9</v>
      </c>
      <c r="B29" s="93">
        <f t="shared" si="5"/>
        <v>45737</v>
      </c>
      <c r="C29" s="94">
        <f t="shared" si="6"/>
        <v>17.444986230530489</v>
      </c>
      <c r="D29" s="94">
        <f t="shared" si="1"/>
        <v>36.053810739974786</v>
      </c>
      <c r="E29" s="94">
        <f t="shared" si="7"/>
        <v>0</v>
      </c>
      <c r="F29" s="94">
        <f t="shared" si="8"/>
        <v>0</v>
      </c>
      <c r="G29" s="94">
        <v>0</v>
      </c>
      <c r="H29" s="94">
        <f t="shared" si="9"/>
        <v>53.498796970505275</v>
      </c>
      <c r="I29" s="94">
        <f t="shared" si="2"/>
        <v>2.907497705088415</v>
      </c>
      <c r="J29" s="94"/>
      <c r="K29" s="94"/>
      <c r="L29" s="94"/>
      <c r="M29" s="95">
        <f t="shared" si="3"/>
        <v>53.498796970505275</v>
      </c>
      <c r="N29" s="94">
        <f t="shared" si="4"/>
        <v>865.50548087089294</v>
      </c>
      <c r="T29" s="98">
        <f t="shared" si="10"/>
        <v>53.498796970505275</v>
      </c>
    </row>
    <row r="30" spans="1:20">
      <c r="A30" s="92">
        <v>10</v>
      </c>
      <c r="B30" s="93">
        <f t="shared" si="5"/>
        <v>45768</v>
      </c>
      <c r="C30" s="94">
        <f t="shared" si="6"/>
        <v>18.157323168277145</v>
      </c>
      <c r="D30" s="94">
        <f t="shared" si="1"/>
        <v>35.34147380222813</v>
      </c>
      <c r="E30" s="94">
        <f t="shared" si="7"/>
        <v>0</v>
      </c>
      <c r="F30" s="94">
        <f t="shared" si="8"/>
        <v>0</v>
      </c>
      <c r="G30" s="94">
        <v>0</v>
      </c>
      <c r="H30" s="94">
        <f t="shared" si="9"/>
        <v>53.498796970505275</v>
      </c>
      <c r="I30" s="94">
        <f t="shared" si="2"/>
        <v>3.0262205280461907</v>
      </c>
      <c r="J30" s="94"/>
      <c r="K30" s="94"/>
      <c r="L30" s="94"/>
      <c r="M30" s="95">
        <f t="shared" si="3"/>
        <v>53.498796970505275</v>
      </c>
      <c r="N30" s="94">
        <f t="shared" si="4"/>
        <v>847.34815770261582</v>
      </c>
      <c r="T30" s="98">
        <f t="shared" si="10"/>
        <v>53.498796970505275</v>
      </c>
    </row>
    <row r="31" spans="1:20">
      <c r="A31" s="92">
        <v>11</v>
      </c>
      <c r="B31" s="93">
        <f t="shared" si="5"/>
        <v>45798</v>
      </c>
      <c r="C31" s="94">
        <f t="shared" si="6"/>
        <v>18.898747197648461</v>
      </c>
      <c r="D31" s="94">
        <f t="shared" si="1"/>
        <v>34.600049772856813</v>
      </c>
      <c r="E31" s="94">
        <f t="shared" si="7"/>
        <v>0</v>
      </c>
      <c r="F31" s="94">
        <f t="shared" si="8"/>
        <v>0</v>
      </c>
      <c r="G31" s="94">
        <v>0</v>
      </c>
      <c r="H31" s="94">
        <f t="shared" si="9"/>
        <v>53.498796970505275</v>
      </c>
      <c r="I31" s="94">
        <f t="shared" si="2"/>
        <v>3.1497911996080767</v>
      </c>
      <c r="J31" s="94"/>
      <c r="K31" s="94"/>
      <c r="L31" s="94"/>
      <c r="M31" s="95">
        <f t="shared" si="3"/>
        <v>53.498796970505275</v>
      </c>
      <c r="N31" s="94">
        <f t="shared" si="4"/>
        <v>828.44941050496732</v>
      </c>
      <c r="T31" s="98">
        <f t="shared" si="10"/>
        <v>53.498796970505275</v>
      </c>
    </row>
    <row r="32" spans="1:20">
      <c r="A32" s="92">
        <v>12</v>
      </c>
      <c r="B32" s="93">
        <f t="shared" si="5"/>
        <v>45829</v>
      </c>
      <c r="C32" s="94">
        <f t="shared" si="6"/>
        <v>19.670446041552445</v>
      </c>
      <c r="D32" s="94">
        <f t="shared" si="1"/>
        <v>33.82835092895283</v>
      </c>
      <c r="E32" s="94">
        <f t="shared" si="7"/>
        <v>0</v>
      </c>
      <c r="F32" s="94">
        <f t="shared" si="8"/>
        <v>0</v>
      </c>
      <c r="G32" s="94">
        <v>0</v>
      </c>
      <c r="H32" s="94">
        <f t="shared" si="9"/>
        <v>53.498796970505275</v>
      </c>
      <c r="I32" s="94">
        <f t="shared" si="2"/>
        <v>3.2784076735920746</v>
      </c>
      <c r="J32" s="94"/>
      <c r="K32" s="94"/>
      <c r="L32" s="94"/>
      <c r="M32" s="95">
        <f t="shared" si="3"/>
        <v>53.498796970505275</v>
      </c>
      <c r="N32" s="94">
        <f t="shared" si="4"/>
        <v>808.77896446341492</v>
      </c>
      <c r="T32" s="98">
        <f t="shared" si="10"/>
        <v>53.498796970505275</v>
      </c>
    </row>
    <row r="33" spans="1:20">
      <c r="A33" s="92">
        <v>13</v>
      </c>
      <c r="B33" s="93">
        <f t="shared" si="5"/>
        <v>45859</v>
      </c>
      <c r="C33" s="94">
        <f t="shared" si="6"/>
        <v>20.473655921582498</v>
      </c>
      <c r="D33" s="94">
        <f t="shared" si="1"/>
        <v>33.025141048922777</v>
      </c>
      <c r="E33" s="94">
        <f t="shared" si="7"/>
        <v>0</v>
      </c>
      <c r="F33" s="94">
        <f t="shared" si="8"/>
        <v>0</v>
      </c>
      <c r="G33" s="94">
        <v>0</v>
      </c>
      <c r="H33" s="94">
        <f t="shared" si="9"/>
        <v>53.498796970505275</v>
      </c>
      <c r="I33" s="94">
        <f t="shared" si="2"/>
        <v>3.4122759869304162</v>
      </c>
      <c r="J33" s="94"/>
      <c r="K33" s="94"/>
      <c r="L33" s="94"/>
      <c r="M33" s="95">
        <f t="shared" si="3"/>
        <v>53.498796970505275</v>
      </c>
      <c r="N33" s="94">
        <f t="shared" si="4"/>
        <v>788.30530854183246</v>
      </c>
      <c r="T33" s="98">
        <f t="shared" si="10"/>
        <v>53.498796970505275</v>
      </c>
    </row>
    <row r="34" spans="1:20">
      <c r="A34" s="92">
        <v>14</v>
      </c>
      <c r="B34" s="93">
        <f t="shared" si="5"/>
        <v>45890</v>
      </c>
      <c r="C34" s="94">
        <f t="shared" si="6"/>
        <v>21.309663538380448</v>
      </c>
      <c r="D34" s="94">
        <f t="shared" si="1"/>
        <v>32.189133432124827</v>
      </c>
      <c r="E34" s="94">
        <f t="shared" si="7"/>
        <v>0</v>
      </c>
      <c r="F34" s="94">
        <f t="shared" si="8"/>
        <v>0</v>
      </c>
      <c r="G34" s="94">
        <v>0</v>
      </c>
      <c r="H34" s="94">
        <f t="shared" si="9"/>
        <v>53.498796970505275</v>
      </c>
      <c r="I34" s="94">
        <f t="shared" si="2"/>
        <v>3.5516105897300747</v>
      </c>
      <c r="J34" s="94"/>
      <c r="K34" s="94"/>
      <c r="L34" s="94"/>
      <c r="M34" s="95">
        <f t="shared" si="3"/>
        <v>53.498796970505275</v>
      </c>
      <c r="N34" s="94">
        <f t="shared" si="4"/>
        <v>766.99564500345195</v>
      </c>
      <c r="T34" s="98">
        <f t="shared" si="10"/>
        <v>53.498796970505275</v>
      </c>
    </row>
    <row r="35" spans="1:20">
      <c r="A35" s="92">
        <v>15</v>
      </c>
      <c r="B35" s="93">
        <f t="shared" si="5"/>
        <v>45921</v>
      </c>
      <c r="C35" s="94">
        <f t="shared" si="6"/>
        <v>22.17980813286432</v>
      </c>
      <c r="D35" s="94">
        <f t="shared" si="1"/>
        <v>31.318988837640955</v>
      </c>
      <c r="E35" s="94">
        <f t="shared" si="7"/>
        <v>0</v>
      </c>
      <c r="F35" s="94">
        <f t="shared" si="8"/>
        <v>0</v>
      </c>
      <c r="G35" s="94">
        <v>0</v>
      </c>
      <c r="H35" s="94">
        <f t="shared" si="9"/>
        <v>53.498796970505275</v>
      </c>
      <c r="I35" s="94">
        <f t="shared" si="2"/>
        <v>3.69663468881072</v>
      </c>
      <c r="J35" s="94"/>
      <c r="K35" s="94"/>
      <c r="L35" s="94"/>
      <c r="M35" s="95">
        <f t="shared" si="3"/>
        <v>53.498796970505275</v>
      </c>
      <c r="N35" s="94">
        <f t="shared" si="4"/>
        <v>744.81583687058765</v>
      </c>
      <c r="T35" s="98">
        <f t="shared" si="10"/>
        <v>53.498796970505275</v>
      </c>
    </row>
    <row r="36" spans="1:20">
      <c r="A36" s="92">
        <v>16</v>
      </c>
      <c r="B36" s="93">
        <f t="shared" si="5"/>
        <v>45951</v>
      </c>
      <c r="C36" s="94">
        <f t="shared" si="6"/>
        <v>23.085483631622946</v>
      </c>
      <c r="D36" s="94">
        <f t="shared" si="1"/>
        <v>30.413313338882329</v>
      </c>
      <c r="E36" s="94">
        <f t="shared" si="7"/>
        <v>0</v>
      </c>
      <c r="F36" s="94">
        <f t="shared" si="8"/>
        <v>0</v>
      </c>
      <c r="G36" s="94">
        <v>0</v>
      </c>
      <c r="H36" s="94">
        <f t="shared" si="9"/>
        <v>53.498796970505275</v>
      </c>
      <c r="I36" s="94">
        <f t="shared" si="2"/>
        <v>3.8475806052704913</v>
      </c>
      <c r="J36" s="94"/>
      <c r="K36" s="94"/>
      <c r="L36" s="94"/>
      <c r="M36" s="95">
        <f t="shared" si="3"/>
        <v>53.498796970505275</v>
      </c>
      <c r="N36" s="94">
        <f t="shared" si="4"/>
        <v>721.73035323896465</v>
      </c>
      <c r="T36" s="98">
        <f t="shared" si="10"/>
        <v>53.498796970505275</v>
      </c>
    </row>
    <row r="37" spans="1:20">
      <c r="A37" s="92">
        <v>17</v>
      </c>
      <c r="B37" s="93">
        <f t="shared" si="5"/>
        <v>45982</v>
      </c>
      <c r="C37" s="94">
        <f t="shared" si="6"/>
        <v>24.028140879914222</v>
      </c>
      <c r="D37" s="94">
        <f t="shared" si="1"/>
        <v>29.470656090591053</v>
      </c>
      <c r="E37" s="94">
        <f t="shared" si="7"/>
        <v>0</v>
      </c>
      <c r="F37" s="94">
        <f t="shared" si="8"/>
        <v>0</v>
      </c>
      <c r="G37" s="94">
        <v>0</v>
      </c>
      <c r="H37" s="94">
        <f t="shared" si="9"/>
        <v>53.498796970505275</v>
      </c>
      <c r="I37" s="94">
        <f t="shared" si="2"/>
        <v>4.0046901466523703</v>
      </c>
      <c r="J37" s="94"/>
      <c r="K37" s="94"/>
      <c r="L37" s="94"/>
      <c r="M37" s="95">
        <f t="shared" si="3"/>
        <v>53.498796970505275</v>
      </c>
      <c r="N37" s="94">
        <f t="shared" si="4"/>
        <v>697.70221235905046</v>
      </c>
      <c r="T37" s="98">
        <f t="shared" si="10"/>
        <v>53.498796970505275</v>
      </c>
    </row>
    <row r="38" spans="1:20">
      <c r="A38" s="92">
        <v>18</v>
      </c>
      <c r="B38" s="93">
        <f t="shared" si="5"/>
        <v>46012</v>
      </c>
      <c r="C38" s="94">
        <f t="shared" si="6"/>
        <v>25.009289965844051</v>
      </c>
      <c r="D38" s="94">
        <f t="shared" si="1"/>
        <v>28.489507004661224</v>
      </c>
      <c r="E38" s="94">
        <f t="shared" si="7"/>
        <v>0</v>
      </c>
      <c r="F38" s="94">
        <f t="shared" si="8"/>
        <v>0</v>
      </c>
      <c r="G38" s="94">
        <v>0</v>
      </c>
      <c r="H38" s="94">
        <f t="shared" si="9"/>
        <v>53.498796970505275</v>
      </c>
      <c r="I38" s="94">
        <f t="shared" si="2"/>
        <v>4.1682149943073421</v>
      </c>
      <c r="J38" s="94"/>
      <c r="K38" s="94"/>
      <c r="L38" s="94"/>
      <c r="M38" s="95">
        <f t="shared" si="3"/>
        <v>53.498796970505275</v>
      </c>
      <c r="N38" s="94">
        <f t="shared" si="4"/>
        <v>672.69292239320646</v>
      </c>
      <c r="T38" s="98">
        <f t="shared" si="10"/>
        <v>53.498796970505275</v>
      </c>
    </row>
    <row r="39" spans="1:20">
      <c r="A39" s="92">
        <v>19</v>
      </c>
      <c r="B39" s="93">
        <f t="shared" si="5"/>
        <v>46043</v>
      </c>
      <c r="C39" s="94">
        <f t="shared" si="6"/>
        <v>26.030502639449345</v>
      </c>
      <c r="D39" s="94">
        <f t="shared" si="1"/>
        <v>27.46829433105593</v>
      </c>
      <c r="E39" s="94">
        <f t="shared" si="7"/>
        <v>0</v>
      </c>
      <c r="F39" s="94">
        <f t="shared" si="8"/>
        <v>0</v>
      </c>
      <c r="G39" s="94">
        <v>0</v>
      </c>
      <c r="H39" s="94">
        <f t="shared" si="9"/>
        <v>53.498796970505275</v>
      </c>
      <c r="I39" s="94">
        <f t="shared" si="2"/>
        <v>4.3384171065748909</v>
      </c>
      <c r="J39" s="94"/>
      <c r="K39" s="94"/>
      <c r="L39" s="94"/>
      <c r="M39" s="95">
        <f t="shared" si="3"/>
        <v>53.498796970505275</v>
      </c>
      <c r="N39" s="94">
        <f t="shared" si="4"/>
        <v>646.66241975375715</v>
      </c>
      <c r="T39" s="98">
        <f t="shared" si="10"/>
        <v>53.498796970505275</v>
      </c>
    </row>
    <row r="40" spans="1:20">
      <c r="A40" s="92">
        <v>20</v>
      </c>
      <c r="B40" s="93">
        <f t="shared" si="5"/>
        <v>46074</v>
      </c>
      <c r="C40" s="94">
        <f t="shared" si="6"/>
        <v>27.093414830560189</v>
      </c>
      <c r="D40" s="94">
        <f t="shared" si="1"/>
        <v>26.405382139945086</v>
      </c>
      <c r="E40" s="94">
        <f t="shared" si="7"/>
        <v>0</v>
      </c>
      <c r="F40" s="94">
        <f t="shared" si="8"/>
        <v>0</v>
      </c>
      <c r="G40" s="94">
        <v>0</v>
      </c>
      <c r="H40" s="94">
        <f t="shared" si="9"/>
        <v>53.498796970505275</v>
      </c>
      <c r="I40" s="94">
        <f t="shared" si="2"/>
        <v>4.5155691384266978</v>
      </c>
      <c r="J40" s="94"/>
      <c r="K40" s="94"/>
      <c r="L40" s="94"/>
      <c r="M40" s="95">
        <f t="shared" si="3"/>
        <v>53.498796970505275</v>
      </c>
      <c r="N40" s="94">
        <f t="shared" si="4"/>
        <v>619.56900492319699</v>
      </c>
      <c r="T40" s="98">
        <f t="shared" si="10"/>
        <v>53.498796970505275</v>
      </c>
    </row>
    <row r="41" spans="1:20">
      <c r="A41" s="92">
        <v>21</v>
      </c>
      <c r="B41" s="93">
        <f t="shared" si="5"/>
        <v>46102</v>
      </c>
      <c r="C41" s="94">
        <f t="shared" si="6"/>
        <v>28.199729269474734</v>
      </c>
      <c r="D41" s="94">
        <f t="shared" si="1"/>
        <v>25.299067701030541</v>
      </c>
      <c r="E41" s="94">
        <f t="shared" si="7"/>
        <v>0</v>
      </c>
      <c r="F41" s="94">
        <f t="shared" si="8"/>
        <v>0</v>
      </c>
      <c r="G41" s="94">
        <v>0</v>
      </c>
      <c r="H41" s="94">
        <f t="shared" si="9"/>
        <v>53.498796970505275</v>
      </c>
      <c r="I41" s="94">
        <f t="shared" si="2"/>
        <v>4.6999548782457889</v>
      </c>
      <c r="J41" s="94"/>
      <c r="K41" s="94"/>
      <c r="L41" s="94"/>
      <c r="M41" s="95">
        <f t="shared" si="3"/>
        <v>53.498796970505275</v>
      </c>
      <c r="N41" s="94">
        <f t="shared" si="4"/>
        <v>591.3692756537223</v>
      </c>
      <c r="T41" s="98">
        <f t="shared" si="10"/>
        <v>53.498796970505275</v>
      </c>
    </row>
    <row r="42" spans="1:20">
      <c r="A42" s="92">
        <v>22</v>
      </c>
      <c r="B42" s="93">
        <f t="shared" si="5"/>
        <v>46133</v>
      </c>
      <c r="C42" s="94">
        <f t="shared" si="6"/>
        <v>29.351218214644948</v>
      </c>
      <c r="D42" s="94">
        <f t="shared" si="1"/>
        <v>24.147578755860327</v>
      </c>
      <c r="E42" s="94">
        <f t="shared" si="7"/>
        <v>0</v>
      </c>
      <c r="F42" s="94">
        <f t="shared" si="8"/>
        <v>0</v>
      </c>
      <c r="G42" s="94">
        <v>0</v>
      </c>
      <c r="H42" s="94">
        <f t="shared" si="9"/>
        <v>53.498796970505275</v>
      </c>
      <c r="I42" s="94">
        <f t="shared" si="2"/>
        <v>4.8918697024408253</v>
      </c>
      <c r="J42" s="94"/>
      <c r="K42" s="94"/>
      <c r="L42" s="94"/>
      <c r="M42" s="95">
        <f t="shared" si="3"/>
        <v>53.498796970505275</v>
      </c>
      <c r="N42" s="94">
        <f t="shared" si="4"/>
        <v>562.01805743907732</v>
      </c>
      <c r="T42" s="98">
        <f t="shared" si="10"/>
        <v>53.498796970505275</v>
      </c>
    </row>
    <row r="43" spans="1:20">
      <c r="A43" s="92">
        <v>23</v>
      </c>
      <c r="B43" s="93">
        <f t="shared" si="5"/>
        <v>46163</v>
      </c>
      <c r="C43" s="94">
        <f t="shared" si="6"/>
        <v>30.54972629174295</v>
      </c>
      <c r="D43" s="94">
        <f t="shared" si="1"/>
        <v>22.949070678762325</v>
      </c>
      <c r="E43" s="94">
        <f t="shared" si="7"/>
        <v>0</v>
      </c>
      <c r="F43" s="94">
        <f t="shared" si="8"/>
        <v>0</v>
      </c>
      <c r="G43" s="94">
        <v>0</v>
      </c>
      <c r="H43" s="94">
        <f t="shared" si="9"/>
        <v>53.498796970505275</v>
      </c>
      <c r="I43" s="94">
        <f t="shared" si="2"/>
        <v>5.0916210486238249</v>
      </c>
      <c r="J43" s="94"/>
      <c r="K43" s="94"/>
      <c r="L43" s="94"/>
      <c r="M43" s="95">
        <f t="shared" si="3"/>
        <v>53.498796970505275</v>
      </c>
      <c r="N43" s="94">
        <f t="shared" si="4"/>
        <v>531.46833114733442</v>
      </c>
      <c r="T43" s="98">
        <f t="shared" si="10"/>
        <v>53.498796970505275</v>
      </c>
    </row>
    <row r="44" spans="1:20">
      <c r="A44" s="92">
        <v>24</v>
      </c>
      <c r="B44" s="93">
        <f t="shared" si="5"/>
        <v>46194</v>
      </c>
      <c r="C44" s="94">
        <f t="shared" si="6"/>
        <v>31.797173448655787</v>
      </c>
      <c r="D44" s="94">
        <f t="shared" si="1"/>
        <v>21.701623521849488</v>
      </c>
      <c r="E44" s="94">
        <f t="shared" si="7"/>
        <v>0</v>
      </c>
      <c r="F44" s="94">
        <f t="shared" si="8"/>
        <v>0</v>
      </c>
      <c r="G44" s="94">
        <v>0</v>
      </c>
      <c r="H44" s="94">
        <f t="shared" si="9"/>
        <v>53.498796970505275</v>
      </c>
      <c r="I44" s="94">
        <f t="shared" si="2"/>
        <v>5.2995289081092976</v>
      </c>
      <c r="J44" s="94"/>
      <c r="K44" s="94"/>
      <c r="L44" s="94"/>
      <c r="M44" s="95">
        <f t="shared" si="3"/>
        <v>53.498796970505275</v>
      </c>
      <c r="N44" s="94">
        <f t="shared" si="4"/>
        <v>499.67115769867866</v>
      </c>
      <c r="T44" s="98">
        <f t="shared" si="10"/>
        <v>53.498796970505275</v>
      </c>
    </row>
    <row r="45" spans="1:20">
      <c r="A45" s="92">
        <v>25</v>
      </c>
      <c r="B45" s="93">
        <f t="shared" si="5"/>
        <v>46224</v>
      </c>
      <c r="C45" s="94">
        <f t="shared" si="6"/>
        <v>33.095558031142559</v>
      </c>
      <c r="D45" s="94">
        <f t="shared" si="1"/>
        <v>20.403238939362712</v>
      </c>
      <c r="E45" s="94">
        <f t="shared" si="7"/>
        <v>0</v>
      </c>
      <c r="F45" s="94">
        <f t="shared" si="8"/>
        <v>0</v>
      </c>
      <c r="G45" s="94">
        <v>0</v>
      </c>
      <c r="H45" s="94">
        <f t="shared" si="9"/>
        <v>53.498796970505268</v>
      </c>
      <c r="I45" s="94">
        <f t="shared" si="2"/>
        <v>5.5159263385237596</v>
      </c>
      <c r="J45" s="94"/>
      <c r="K45" s="94"/>
      <c r="L45" s="94"/>
      <c r="M45" s="95">
        <f t="shared" si="3"/>
        <v>53.498796970505268</v>
      </c>
      <c r="N45" s="94">
        <f t="shared" si="4"/>
        <v>466.5755996675361</v>
      </c>
      <c r="T45" s="98">
        <f t="shared" si="10"/>
        <v>53.498796970505275</v>
      </c>
    </row>
    <row r="46" spans="1:20">
      <c r="A46" s="92">
        <v>26</v>
      </c>
      <c r="B46" s="93">
        <f t="shared" si="5"/>
        <v>46255</v>
      </c>
      <c r="C46" s="94">
        <f t="shared" si="6"/>
        <v>34.446959984080884</v>
      </c>
      <c r="D46" s="94">
        <f t="shared" si="1"/>
        <v>19.051836986424391</v>
      </c>
      <c r="E46" s="94">
        <f t="shared" si="7"/>
        <v>0</v>
      </c>
      <c r="F46" s="94">
        <f t="shared" si="8"/>
        <v>0</v>
      </c>
      <c r="G46" s="94">
        <v>0</v>
      </c>
      <c r="H46" s="94">
        <f t="shared" si="9"/>
        <v>53.498796970505275</v>
      </c>
      <c r="I46" s="94">
        <f t="shared" si="2"/>
        <v>5.7411599973468137</v>
      </c>
      <c r="J46" s="94"/>
      <c r="K46" s="94"/>
      <c r="L46" s="94"/>
      <c r="M46" s="95">
        <f t="shared" si="3"/>
        <v>53.498796970505275</v>
      </c>
      <c r="N46" s="94">
        <f t="shared" si="4"/>
        <v>432.12863968345522</v>
      </c>
      <c r="T46" s="98">
        <f t="shared" si="10"/>
        <v>53.498796970505275</v>
      </c>
    </row>
    <row r="47" spans="1:20">
      <c r="A47" s="92">
        <v>27</v>
      </c>
      <c r="B47" s="93">
        <f t="shared" si="5"/>
        <v>46286</v>
      </c>
      <c r="C47" s="94">
        <f t="shared" si="6"/>
        <v>35.853544183430856</v>
      </c>
      <c r="D47" s="94">
        <f t="shared" si="1"/>
        <v>17.645252787074423</v>
      </c>
      <c r="E47" s="94">
        <f t="shared" si="7"/>
        <v>0</v>
      </c>
      <c r="F47" s="94">
        <f t="shared" si="8"/>
        <v>0</v>
      </c>
      <c r="G47" s="94">
        <v>0</v>
      </c>
      <c r="H47" s="94">
        <f t="shared" si="9"/>
        <v>53.498796970505282</v>
      </c>
      <c r="I47" s="94">
        <f t="shared" si="2"/>
        <v>5.9755906972384762</v>
      </c>
      <c r="J47" s="94"/>
      <c r="K47" s="94"/>
      <c r="L47" s="94"/>
      <c r="M47" s="95">
        <f t="shared" si="3"/>
        <v>53.498796970505282</v>
      </c>
      <c r="N47" s="94">
        <f t="shared" si="4"/>
        <v>396.27509550002435</v>
      </c>
      <c r="T47" s="98">
        <f t="shared" si="10"/>
        <v>53.498796970505275</v>
      </c>
    </row>
    <row r="48" spans="1:20">
      <c r="A48" s="92">
        <v>28</v>
      </c>
      <c r="B48" s="93">
        <f t="shared" si="5"/>
        <v>46316</v>
      </c>
      <c r="C48" s="94">
        <f t="shared" si="6"/>
        <v>37.317563904254285</v>
      </c>
      <c r="D48" s="94">
        <f t="shared" si="1"/>
        <v>16.181233066250993</v>
      </c>
      <c r="E48" s="94">
        <f t="shared" si="7"/>
        <v>0</v>
      </c>
      <c r="F48" s="94">
        <f t="shared" si="8"/>
        <v>0</v>
      </c>
      <c r="G48" s="94">
        <v>0</v>
      </c>
      <c r="H48" s="94">
        <f t="shared" si="9"/>
        <v>53.498796970505282</v>
      </c>
      <c r="I48" s="94">
        <f t="shared" si="2"/>
        <v>6.2195939840423806</v>
      </c>
      <c r="J48" s="94"/>
      <c r="K48" s="94"/>
      <c r="L48" s="94"/>
      <c r="M48" s="95">
        <f t="shared" si="3"/>
        <v>53.498796970505282</v>
      </c>
      <c r="N48" s="94">
        <f t="shared" si="4"/>
        <v>358.95753159577009</v>
      </c>
      <c r="T48" s="98">
        <f t="shared" si="10"/>
        <v>53.498796970505275</v>
      </c>
    </row>
    <row r="49" spans="1:20">
      <c r="A49" s="92">
        <v>29</v>
      </c>
      <c r="B49" s="93">
        <f t="shared" si="5"/>
        <v>46347</v>
      </c>
      <c r="C49" s="94">
        <f t="shared" si="6"/>
        <v>38.841364430344662</v>
      </c>
      <c r="D49" s="94">
        <f t="shared" si="1"/>
        <v>14.657432540160611</v>
      </c>
      <c r="E49" s="94">
        <f t="shared" si="7"/>
        <v>0</v>
      </c>
      <c r="F49" s="94">
        <f t="shared" si="8"/>
        <v>0</v>
      </c>
      <c r="G49" s="94">
        <v>0</v>
      </c>
      <c r="H49" s="94">
        <f t="shared" si="9"/>
        <v>53.498796970505275</v>
      </c>
      <c r="I49" s="94">
        <f t="shared" si="2"/>
        <v>6.4735607383907769</v>
      </c>
      <c r="J49" s="94"/>
      <c r="K49" s="94"/>
      <c r="L49" s="94"/>
      <c r="M49" s="95">
        <f t="shared" si="3"/>
        <v>53.498796970505275</v>
      </c>
      <c r="N49" s="94">
        <f t="shared" si="4"/>
        <v>320.11616716542545</v>
      </c>
      <c r="T49" s="98">
        <f t="shared" si="10"/>
        <v>53.498796970505275</v>
      </c>
    </row>
    <row r="50" spans="1:20">
      <c r="A50" s="92">
        <v>30</v>
      </c>
      <c r="B50" s="93">
        <f t="shared" si="5"/>
        <v>46377</v>
      </c>
      <c r="C50" s="94">
        <f t="shared" si="6"/>
        <v>40.4273868112504</v>
      </c>
      <c r="D50" s="94">
        <f t="shared" si="1"/>
        <v>13.071410159254873</v>
      </c>
      <c r="E50" s="94">
        <f t="shared" si="7"/>
        <v>0</v>
      </c>
      <c r="F50" s="94">
        <f t="shared" si="8"/>
        <v>0</v>
      </c>
      <c r="G50" s="94">
        <v>0</v>
      </c>
      <c r="H50" s="94">
        <f t="shared" si="9"/>
        <v>53.498796970505275</v>
      </c>
      <c r="I50" s="94">
        <f t="shared" si="2"/>
        <v>6.737897801875067</v>
      </c>
      <c r="J50" s="94"/>
      <c r="K50" s="94"/>
      <c r="L50" s="94"/>
      <c r="M50" s="95">
        <f t="shared" si="3"/>
        <v>53.498796970505275</v>
      </c>
      <c r="N50" s="94">
        <f t="shared" si="4"/>
        <v>279.68878035417504</v>
      </c>
      <c r="T50" s="98">
        <f t="shared" si="10"/>
        <v>53.498796970505275</v>
      </c>
    </row>
    <row r="51" spans="1:20">
      <c r="A51" s="92">
        <v>31</v>
      </c>
      <c r="B51" s="93">
        <f t="shared" si="5"/>
        <v>46408</v>
      </c>
      <c r="C51" s="94">
        <f t="shared" si="6"/>
        <v>42.078171772709794</v>
      </c>
      <c r="D51" s="94">
        <f t="shared" si="1"/>
        <v>11.420625197795481</v>
      </c>
      <c r="E51" s="94">
        <f t="shared" si="7"/>
        <v>0</v>
      </c>
      <c r="F51" s="94">
        <f t="shared" si="8"/>
        <v>0</v>
      </c>
      <c r="G51" s="94">
        <v>0</v>
      </c>
      <c r="H51" s="94">
        <f t="shared" si="9"/>
        <v>53.498796970505275</v>
      </c>
      <c r="I51" s="94">
        <f t="shared" si="2"/>
        <v>7.0130286287849657</v>
      </c>
      <c r="J51" s="94"/>
      <c r="K51" s="94"/>
      <c r="L51" s="94"/>
      <c r="M51" s="95">
        <f t="shared" si="3"/>
        <v>53.498796970505275</v>
      </c>
      <c r="N51" s="94">
        <f t="shared" si="4"/>
        <v>237.61060858146524</v>
      </c>
      <c r="T51" s="98">
        <f t="shared" si="10"/>
        <v>53.498796970505275</v>
      </c>
    </row>
    <row r="52" spans="1:20">
      <c r="A52" s="92">
        <v>32</v>
      </c>
      <c r="B52" s="93">
        <f t="shared" si="5"/>
        <v>46439</v>
      </c>
      <c r="C52" s="94">
        <f t="shared" si="6"/>
        <v>43.796363786762115</v>
      </c>
      <c r="D52" s="94">
        <f t="shared" si="1"/>
        <v>9.7024331837431639</v>
      </c>
      <c r="E52" s="94">
        <f t="shared" si="7"/>
        <v>0</v>
      </c>
      <c r="F52" s="94">
        <f t="shared" si="8"/>
        <v>0</v>
      </c>
      <c r="G52" s="94">
        <v>0</v>
      </c>
      <c r="H52" s="94">
        <f t="shared" si="9"/>
        <v>53.498796970505282</v>
      </c>
      <c r="I52" s="94">
        <f t="shared" si="2"/>
        <v>7.2993939644603527</v>
      </c>
      <c r="J52" s="94"/>
      <c r="K52" s="94"/>
      <c r="L52" s="94"/>
      <c r="M52" s="95">
        <f t="shared" si="3"/>
        <v>53.498796970505282</v>
      </c>
      <c r="N52" s="94">
        <f t="shared" si="4"/>
        <v>193.81424479470314</v>
      </c>
      <c r="T52" s="98">
        <f t="shared" si="10"/>
        <v>53.498796970505275</v>
      </c>
    </row>
    <row r="53" spans="1:20">
      <c r="A53" s="92">
        <v>33</v>
      </c>
      <c r="B53" s="93">
        <f t="shared" si="5"/>
        <v>46467</v>
      </c>
      <c r="C53" s="94">
        <f t="shared" si="6"/>
        <v>45.584715308054896</v>
      </c>
      <c r="D53" s="94">
        <f t="shared" si="1"/>
        <v>7.9140816624503785</v>
      </c>
      <c r="E53" s="94">
        <f t="shared" si="7"/>
        <v>0</v>
      </c>
      <c r="F53" s="94">
        <f t="shared" si="8"/>
        <v>0</v>
      </c>
      <c r="G53" s="94">
        <v>0</v>
      </c>
      <c r="H53" s="94">
        <f t="shared" si="9"/>
        <v>53.498796970505275</v>
      </c>
      <c r="I53" s="94">
        <f t="shared" si="2"/>
        <v>7.5974525513424833</v>
      </c>
      <c r="J53" s="94"/>
      <c r="K53" s="94"/>
      <c r="L53" s="94"/>
      <c r="M53" s="95">
        <f t="shared" si="3"/>
        <v>53.498796970505275</v>
      </c>
      <c r="N53" s="94">
        <f t="shared" si="4"/>
        <v>148.22952948664823</v>
      </c>
      <c r="T53" s="98">
        <f t="shared" si="10"/>
        <v>53.498796970505275</v>
      </c>
    </row>
    <row r="54" spans="1:20">
      <c r="A54" s="92">
        <v>34</v>
      </c>
      <c r="B54" s="93">
        <f t="shared" si="5"/>
        <v>46498</v>
      </c>
      <c r="C54" s="94">
        <f t="shared" si="6"/>
        <v>47.446091183133802</v>
      </c>
      <c r="D54" s="94">
        <f t="shared" si="1"/>
        <v>6.0527057873714689</v>
      </c>
      <c r="E54" s="94">
        <f t="shared" si="7"/>
        <v>0</v>
      </c>
      <c r="F54" s="94">
        <f t="shared" si="8"/>
        <v>0</v>
      </c>
      <c r="G54" s="94">
        <v>0</v>
      </c>
      <c r="H54" s="94">
        <f t="shared" si="9"/>
        <v>53.498796970505268</v>
      </c>
      <c r="I54" s="94">
        <f t="shared" si="2"/>
        <v>7.9076818638556334</v>
      </c>
      <c r="J54" s="94"/>
      <c r="K54" s="94"/>
      <c r="L54" s="94"/>
      <c r="M54" s="95">
        <f t="shared" si="3"/>
        <v>53.498796970505268</v>
      </c>
      <c r="N54" s="94">
        <f t="shared" si="4"/>
        <v>100.78343830351443</v>
      </c>
      <c r="T54" s="98">
        <f t="shared" si="10"/>
        <v>53.498796970505275</v>
      </c>
    </row>
    <row r="55" spans="1:20">
      <c r="A55" s="92">
        <v>35</v>
      </c>
      <c r="B55" s="93">
        <f t="shared" si="5"/>
        <v>46528</v>
      </c>
      <c r="C55" s="94">
        <f t="shared" si="6"/>
        <v>49.383473239778439</v>
      </c>
      <c r="D55" s="94">
        <f t="shared" si="1"/>
        <v>4.1153237307268391</v>
      </c>
      <c r="E55" s="94">
        <f t="shared" si="7"/>
        <v>0</v>
      </c>
      <c r="F55" s="94">
        <f t="shared" si="8"/>
        <v>0</v>
      </c>
      <c r="G55" s="94">
        <v>0</v>
      </c>
      <c r="H55" s="94">
        <f>SUM(C55:G55)+SUM(C55:G55)*$F$15</f>
        <v>53.498796970505282</v>
      </c>
      <c r="I55" s="94">
        <f t="shared" si="2"/>
        <v>8.2305788732964054</v>
      </c>
      <c r="J55" s="94"/>
      <c r="K55" s="94"/>
      <c r="L55" s="94"/>
      <c r="M55" s="95">
        <f t="shared" si="3"/>
        <v>53.498796970505282</v>
      </c>
      <c r="N55" s="94">
        <f t="shared" si="4"/>
        <v>51.399965063735991</v>
      </c>
      <c r="T55" s="98">
        <f t="shared" si="10"/>
        <v>53.498796970505275</v>
      </c>
    </row>
    <row r="56" spans="1:20">
      <c r="A56" s="92">
        <v>36</v>
      </c>
      <c r="B56" s="93">
        <f t="shared" si="5"/>
        <v>46559</v>
      </c>
      <c r="C56" s="94">
        <f t="shared" si="6"/>
        <v>51.399965063736055</v>
      </c>
      <c r="D56" s="94">
        <f t="shared" si="1"/>
        <v>2.0988319067692198</v>
      </c>
      <c r="E56" s="94">
        <f t="shared" si="7"/>
        <v>0</v>
      </c>
      <c r="F56" s="94">
        <f t="shared" si="8"/>
        <v>0</v>
      </c>
      <c r="G56" s="94">
        <v>0</v>
      </c>
      <c r="H56" s="94">
        <f>SUM(C56:G56)+SUM(C56:G56)*$F$15</f>
        <v>53.498796970505275</v>
      </c>
      <c r="I56" s="94">
        <f t="shared" si="2"/>
        <v>8.5666608439560097</v>
      </c>
      <c r="J56" s="94"/>
      <c r="K56" s="94"/>
      <c r="L56" s="94"/>
      <c r="M56" s="95">
        <f>SUM(C56,D56,G56,J56,K56,L56)</f>
        <v>53.498796970505275</v>
      </c>
      <c r="N56" s="94">
        <f t="shared" si="4"/>
        <v>-6.3948846218409017E-14</v>
      </c>
      <c r="T56" s="98">
        <f t="shared" si="10"/>
        <v>53.498796970505275</v>
      </c>
    </row>
    <row r="57" spans="1:20">
      <c r="A57" s="92">
        <v>37</v>
      </c>
      <c r="B57" s="93">
        <f t="shared" si="5"/>
        <v>46589</v>
      </c>
      <c r="C57" s="94">
        <f t="shared" si="6"/>
        <v>53.498796970505275</v>
      </c>
      <c r="D57" s="94">
        <f t="shared" si="1"/>
        <v>0</v>
      </c>
      <c r="E57" s="94">
        <f t="shared" si="7"/>
        <v>0</v>
      </c>
      <c r="F57" s="94">
        <f t="shared" si="8"/>
        <v>0</v>
      </c>
      <c r="G57" s="94">
        <f t="shared" ref="G57:G104" si="11">IF(A57&lt;=$F$7,$F$5*VLOOKUP(ROUNDUP(A57/12,0),$O$7:$R$14,4,0)/12,0)-F57</f>
        <v>0</v>
      </c>
      <c r="H57" s="94">
        <f t="shared" si="9"/>
        <v>53.498796970505275</v>
      </c>
      <c r="I57" s="94">
        <f t="shared" si="2"/>
        <v>8.9164661617508791</v>
      </c>
      <c r="J57" s="94"/>
      <c r="K57" s="94"/>
      <c r="L57" s="94"/>
      <c r="M57" s="95">
        <f t="shared" si="3"/>
        <v>53.498796970505275</v>
      </c>
      <c r="N57" s="94">
        <f>N56-C57</f>
        <v>-53.498796970505339</v>
      </c>
      <c r="T57" s="98">
        <f t="shared" si="10"/>
        <v>53.498796970505275</v>
      </c>
    </row>
    <row r="58" spans="1:20">
      <c r="A58" s="92">
        <v>38</v>
      </c>
      <c r="B58" s="93">
        <f t="shared" si="5"/>
        <v>46620</v>
      </c>
      <c r="C58" s="94">
        <f t="shared" si="6"/>
        <v>53.498796970505275</v>
      </c>
      <c r="D58" s="94">
        <f t="shared" si="1"/>
        <v>0</v>
      </c>
      <c r="E58" s="94">
        <f t="shared" si="7"/>
        <v>0</v>
      </c>
      <c r="F58" s="94">
        <f t="shared" si="8"/>
        <v>0</v>
      </c>
      <c r="G58" s="94">
        <f t="shared" si="11"/>
        <v>0</v>
      </c>
      <c r="H58" s="94">
        <f t="shared" si="9"/>
        <v>53.498796970505275</v>
      </c>
      <c r="I58" s="94">
        <f t="shared" si="2"/>
        <v>8.9164661617508791</v>
      </c>
      <c r="J58" s="94"/>
      <c r="K58" s="94"/>
      <c r="L58" s="94"/>
      <c r="M58" s="95">
        <f t="shared" si="3"/>
        <v>53.498796970505275</v>
      </c>
      <c r="N58" s="94">
        <f t="shared" si="4"/>
        <v>-106.99759394101062</v>
      </c>
      <c r="T58" s="98">
        <f t="shared" si="10"/>
        <v>53.498796970505275</v>
      </c>
    </row>
    <row r="59" spans="1:20">
      <c r="A59" s="92">
        <v>39</v>
      </c>
      <c r="B59" s="93">
        <f t="shared" si="5"/>
        <v>46651</v>
      </c>
      <c r="C59" s="94">
        <f t="shared" si="6"/>
        <v>53.498796970505275</v>
      </c>
      <c r="D59" s="94">
        <f t="shared" si="1"/>
        <v>0</v>
      </c>
      <c r="E59" s="94">
        <f t="shared" si="7"/>
        <v>0</v>
      </c>
      <c r="F59" s="94">
        <f t="shared" si="8"/>
        <v>0</v>
      </c>
      <c r="G59" s="94">
        <f t="shared" si="11"/>
        <v>0</v>
      </c>
      <c r="H59" s="94">
        <f t="shared" si="9"/>
        <v>53.498796970505275</v>
      </c>
      <c r="I59" s="94">
        <f t="shared" si="2"/>
        <v>8.9164661617508791</v>
      </c>
      <c r="J59" s="94"/>
      <c r="K59" s="94"/>
      <c r="L59" s="94"/>
      <c r="M59" s="95">
        <f t="shared" si="3"/>
        <v>53.498796970505275</v>
      </c>
      <c r="N59" s="94">
        <f t="shared" si="4"/>
        <v>-160.4963909115159</v>
      </c>
      <c r="T59" s="98">
        <f t="shared" si="10"/>
        <v>53.498796970505275</v>
      </c>
    </row>
    <row r="60" spans="1:20">
      <c r="A60" s="92">
        <v>40</v>
      </c>
      <c r="B60" s="93">
        <f t="shared" si="5"/>
        <v>46681</v>
      </c>
      <c r="C60" s="94">
        <f t="shared" si="6"/>
        <v>53.498796970505275</v>
      </c>
      <c r="D60" s="94">
        <f t="shared" si="1"/>
        <v>0</v>
      </c>
      <c r="E60" s="94">
        <f t="shared" si="7"/>
        <v>0</v>
      </c>
      <c r="F60" s="94">
        <f t="shared" si="8"/>
        <v>0</v>
      </c>
      <c r="G60" s="94">
        <f t="shared" si="11"/>
        <v>0</v>
      </c>
      <c r="H60" s="94">
        <f t="shared" si="9"/>
        <v>53.498796970505275</v>
      </c>
      <c r="I60" s="94">
        <f t="shared" si="2"/>
        <v>8.9164661617508791</v>
      </c>
      <c r="J60" s="94"/>
      <c r="K60" s="94"/>
      <c r="L60" s="94"/>
      <c r="M60" s="95">
        <f t="shared" si="3"/>
        <v>53.498796970505275</v>
      </c>
      <c r="N60" s="94">
        <f t="shared" si="4"/>
        <v>-213.99518788202118</v>
      </c>
      <c r="T60" s="98">
        <f t="shared" si="10"/>
        <v>53.498796970505275</v>
      </c>
    </row>
    <row r="61" spans="1:20">
      <c r="A61" s="92">
        <v>41</v>
      </c>
      <c r="B61" s="93">
        <f t="shared" si="5"/>
        <v>46712</v>
      </c>
      <c r="C61" s="94">
        <f t="shared" si="6"/>
        <v>53.498796970505275</v>
      </c>
      <c r="D61" s="94">
        <f t="shared" si="1"/>
        <v>0</v>
      </c>
      <c r="E61" s="94">
        <f t="shared" si="7"/>
        <v>0</v>
      </c>
      <c r="F61" s="94">
        <f t="shared" si="8"/>
        <v>0</v>
      </c>
      <c r="G61" s="94">
        <f t="shared" si="11"/>
        <v>0</v>
      </c>
      <c r="H61" s="94">
        <f t="shared" si="9"/>
        <v>53.498796970505275</v>
      </c>
      <c r="I61" s="94">
        <f t="shared" si="2"/>
        <v>8.9164661617508791</v>
      </c>
      <c r="J61" s="94"/>
      <c r="K61" s="94"/>
      <c r="L61" s="94"/>
      <c r="M61" s="95">
        <f t="shared" si="3"/>
        <v>53.498796970505275</v>
      </c>
      <c r="N61" s="94">
        <f t="shared" si="4"/>
        <v>-267.49398485252647</v>
      </c>
      <c r="T61" s="98">
        <f t="shared" si="10"/>
        <v>53.498796970505275</v>
      </c>
    </row>
    <row r="62" spans="1:20">
      <c r="A62" s="92">
        <v>42</v>
      </c>
      <c r="B62" s="93">
        <f t="shared" si="5"/>
        <v>46742</v>
      </c>
      <c r="C62" s="94">
        <f t="shared" si="6"/>
        <v>53.498796970505275</v>
      </c>
      <c r="D62" s="94">
        <f t="shared" si="1"/>
        <v>0</v>
      </c>
      <c r="E62" s="94">
        <f t="shared" si="7"/>
        <v>0</v>
      </c>
      <c r="F62" s="94">
        <f t="shared" si="8"/>
        <v>0</v>
      </c>
      <c r="G62" s="94">
        <f t="shared" si="11"/>
        <v>0</v>
      </c>
      <c r="H62" s="94">
        <f t="shared" si="9"/>
        <v>53.498796970505275</v>
      </c>
      <c r="I62" s="94">
        <f t="shared" si="2"/>
        <v>8.9164661617508791</v>
      </c>
      <c r="J62" s="94"/>
      <c r="K62" s="94"/>
      <c r="L62" s="94"/>
      <c r="M62" s="95">
        <f t="shared" si="3"/>
        <v>53.498796970505275</v>
      </c>
      <c r="N62" s="94">
        <f t="shared" si="4"/>
        <v>-320.99278182303175</v>
      </c>
      <c r="T62" s="98">
        <f t="shared" si="10"/>
        <v>53.498796970505275</v>
      </c>
    </row>
    <row r="63" spans="1:20">
      <c r="A63" s="92">
        <v>43</v>
      </c>
      <c r="B63" s="93">
        <f t="shared" si="5"/>
        <v>46773</v>
      </c>
      <c r="C63" s="94">
        <f t="shared" si="6"/>
        <v>53.498796970505275</v>
      </c>
      <c r="D63" s="94">
        <f t="shared" si="1"/>
        <v>0</v>
      </c>
      <c r="E63" s="94">
        <f t="shared" si="7"/>
        <v>0</v>
      </c>
      <c r="F63" s="94">
        <f t="shared" si="8"/>
        <v>0</v>
      </c>
      <c r="G63" s="94">
        <f t="shared" si="11"/>
        <v>0</v>
      </c>
      <c r="H63" s="94">
        <f>SUM(C63:G63)+SUM(C63:G63)*$F$15</f>
        <v>53.498796970505275</v>
      </c>
      <c r="I63" s="94">
        <f t="shared" si="2"/>
        <v>8.9164661617508791</v>
      </c>
      <c r="J63" s="94"/>
      <c r="K63" s="94"/>
      <c r="L63" s="94"/>
      <c r="M63" s="95">
        <f t="shared" si="3"/>
        <v>53.498796970505275</v>
      </c>
      <c r="N63" s="94">
        <f t="shared" si="4"/>
        <v>-374.49157879353703</v>
      </c>
      <c r="T63" s="98">
        <f t="shared" si="10"/>
        <v>53.498796970505275</v>
      </c>
    </row>
    <row r="64" spans="1:20">
      <c r="A64" s="92">
        <v>44</v>
      </c>
      <c r="B64" s="93">
        <f t="shared" si="5"/>
        <v>46804</v>
      </c>
      <c r="C64" s="94">
        <f t="shared" si="6"/>
        <v>53.498796970505275</v>
      </c>
      <c r="D64" s="94">
        <f t="shared" si="1"/>
        <v>0</v>
      </c>
      <c r="E64" s="94">
        <f t="shared" si="7"/>
        <v>0</v>
      </c>
      <c r="F64" s="94">
        <f t="shared" si="8"/>
        <v>0</v>
      </c>
      <c r="G64" s="94">
        <f t="shared" si="11"/>
        <v>0</v>
      </c>
      <c r="H64" s="94">
        <f t="shared" si="9"/>
        <v>53.498796970505275</v>
      </c>
      <c r="I64" s="94">
        <f t="shared" si="2"/>
        <v>8.9164661617508791</v>
      </c>
      <c r="J64" s="94"/>
      <c r="K64" s="94"/>
      <c r="L64" s="94"/>
      <c r="M64" s="95">
        <f t="shared" si="3"/>
        <v>53.498796970505275</v>
      </c>
      <c r="N64" s="94">
        <f t="shared" si="4"/>
        <v>-427.99037576404231</v>
      </c>
      <c r="T64" s="98">
        <f t="shared" si="10"/>
        <v>53.498796970505275</v>
      </c>
    </row>
    <row r="65" spans="1:20">
      <c r="A65" s="92">
        <v>45</v>
      </c>
      <c r="B65" s="93">
        <f t="shared" si="5"/>
        <v>46833</v>
      </c>
      <c r="C65" s="94">
        <f t="shared" si="6"/>
        <v>53.498796970505275</v>
      </c>
      <c r="D65" s="94">
        <f t="shared" si="1"/>
        <v>0</v>
      </c>
      <c r="E65" s="94">
        <f t="shared" si="7"/>
        <v>0</v>
      </c>
      <c r="F65" s="94">
        <f t="shared" si="8"/>
        <v>0</v>
      </c>
      <c r="G65" s="94">
        <f t="shared" si="11"/>
        <v>0</v>
      </c>
      <c r="H65" s="94">
        <f t="shared" si="9"/>
        <v>53.498796970505275</v>
      </c>
      <c r="I65" s="94">
        <f t="shared" si="2"/>
        <v>8.9164661617508791</v>
      </c>
      <c r="J65" s="94"/>
      <c r="K65" s="94"/>
      <c r="L65" s="94"/>
      <c r="M65" s="95">
        <f t="shared" si="3"/>
        <v>53.498796970505275</v>
      </c>
      <c r="N65" s="94">
        <f t="shared" si="4"/>
        <v>-481.48917273454759</v>
      </c>
      <c r="T65" s="98">
        <f t="shared" si="10"/>
        <v>53.498796970505275</v>
      </c>
    </row>
    <row r="66" spans="1:20">
      <c r="A66" s="92">
        <v>46</v>
      </c>
      <c r="B66" s="93">
        <f t="shared" si="5"/>
        <v>46864</v>
      </c>
      <c r="C66" s="94">
        <f t="shared" si="6"/>
        <v>53.498796970505275</v>
      </c>
      <c r="D66" s="94">
        <f t="shared" si="1"/>
        <v>0</v>
      </c>
      <c r="E66" s="94">
        <f t="shared" si="7"/>
        <v>0</v>
      </c>
      <c r="F66" s="94">
        <f t="shared" si="8"/>
        <v>0</v>
      </c>
      <c r="G66" s="94">
        <f t="shared" si="11"/>
        <v>0</v>
      </c>
      <c r="H66" s="94">
        <f t="shared" si="9"/>
        <v>53.498796970505275</v>
      </c>
      <c r="I66" s="94">
        <f t="shared" si="2"/>
        <v>8.9164661617508791</v>
      </c>
      <c r="J66" s="94"/>
      <c r="K66" s="94"/>
      <c r="L66" s="94"/>
      <c r="M66" s="95">
        <f t="shared" si="3"/>
        <v>53.498796970505275</v>
      </c>
      <c r="N66" s="94">
        <f t="shared" si="4"/>
        <v>-534.98796970505282</v>
      </c>
      <c r="T66" s="98">
        <f t="shared" si="10"/>
        <v>53.498796970505275</v>
      </c>
    </row>
    <row r="67" spans="1:20">
      <c r="A67" s="92">
        <v>47</v>
      </c>
      <c r="B67" s="93">
        <f t="shared" si="5"/>
        <v>46894</v>
      </c>
      <c r="C67" s="94">
        <f t="shared" si="6"/>
        <v>53.498796970505275</v>
      </c>
      <c r="D67" s="94">
        <f t="shared" si="1"/>
        <v>0</v>
      </c>
      <c r="E67" s="94">
        <f t="shared" si="7"/>
        <v>0</v>
      </c>
      <c r="F67" s="94">
        <f t="shared" si="8"/>
        <v>0</v>
      </c>
      <c r="G67" s="94">
        <f t="shared" si="11"/>
        <v>0</v>
      </c>
      <c r="H67" s="94">
        <f t="shared" si="9"/>
        <v>53.498796970505275</v>
      </c>
      <c r="I67" s="94">
        <f t="shared" si="2"/>
        <v>8.9164661617508791</v>
      </c>
      <c r="J67" s="94"/>
      <c r="K67" s="94"/>
      <c r="L67" s="94"/>
      <c r="M67" s="95">
        <f t="shared" si="3"/>
        <v>53.498796970505275</v>
      </c>
      <c r="N67" s="94">
        <f t="shared" si="4"/>
        <v>-588.4867666755581</v>
      </c>
      <c r="T67" s="98">
        <f t="shared" si="10"/>
        <v>53.498796970505275</v>
      </c>
    </row>
    <row r="68" spans="1:20">
      <c r="A68" s="92">
        <v>48</v>
      </c>
      <c r="B68" s="93">
        <f t="shared" si="5"/>
        <v>46925</v>
      </c>
      <c r="C68" s="94">
        <f t="shared" si="6"/>
        <v>53.498796970505275</v>
      </c>
      <c r="D68" s="94">
        <f t="shared" si="1"/>
        <v>0</v>
      </c>
      <c r="E68" s="94">
        <f t="shared" si="7"/>
        <v>0</v>
      </c>
      <c r="F68" s="94">
        <f t="shared" si="8"/>
        <v>0</v>
      </c>
      <c r="G68" s="94">
        <f t="shared" si="11"/>
        <v>0</v>
      </c>
      <c r="H68" s="94">
        <f t="shared" si="9"/>
        <v>53.498796970505275</v>
      </c>
      <c r="I68" s="94">
        <f t="shared" si="2"/>
        <v>8.9164661617508791</v>
      </c>
      <c r="J68" s="94"/>
      <c r="K68" s="94"/>
      <c r="L68" s="94"/>
      <c r="M68" s="95">
        <f t="shared" si="3"/>
        <v>53.498796970505275</v>
      </c>
      <c r="N68" s="94">
        <f t="shared" si="4"/>
        <v>-641.98556364606338</v>
      </c>
      <c r="T68" s="98">
        <f t="shared" si="10"/>
        <v>53.498796970505275</v>
      </c>
    </row>
    <row r="69" spans="1:20">
      <c r="A69" s="92">
        <v>49</v>
      </c>
      <c r="B69" s="93">
        <f t="shared" si="5"/>
        <v>46955</v>
      </c>
      <c r="C69" s="94">
        <f t="shared" si="6"/>
        <v>53.498796970505275</v>
      </c>
      <c r="D69" s="94">
        <f t="shared" si="1"/>
        <v>0</v>
      </c>
      <c r="E69" s="94">
        <f t="shared" si="7"/>
        <v>0</v>
      </c>
      <c r="F69" s="94">
        <f t="shared" si="8"/>
        <v>0</v>
      </c>
      <c r="G69" s="94">
        <f t="shared" si="11"/>
        <v>0</v>
      </c>
      <c r="H69" s="94">
        <f t="shared" si="9"/>
        <v>53.498796970505275</v>
      </c>
      <c r="I69" s="94">
        <f t="shared" si="2"/>
        <v>8.9164661617508791</v>
      </c>
      <c r="J69" s="94"/>
      <c r="K69" s="94"/>
      <c r="L69" s="94"/>
      <c r="M69" s="95">
        <f t="shared" si="3"/>
        <v>53.498796970505275</v>
      </c>
      <c r="N69" s="94">
        <f t="shared" si="4"/>
        <v>-695.48436061656867</v>
      </c>
      <c r="T69" s="98">
        <f t="shared" si="10"/>
        <v>53.498796970505275</v>
      </c>
    </row>
    <row r="70" spans="1:20">
      <c r="A70" s="92">
        <v>50</v>
      </c>
      <c r="B70" s="93">
        <f t="shared" si="5"/>
        <v>46986</v>
      </c>
      <c r="C70" s="94">
        <f t="shared" si="6"/>
        <v>53.498796970505275</v>
      </c>
      <c r="D70" s="94">
        <f t="shared" si="1"/>
        <v>0</v>
      </c>
      <c r="E70" s="94">
        <f t="shared" si="7"/>
        <v>0</v>
      </c>
      <c r="F70" s="94">
        <f t="shared" si="8"/>
        <v>0</v>
      </c>
      <c r="G70" s="94">
        <f t="shared" si="11"/>
        <v>0</v>
      </c>
      <c r="H70" s="94">
        <f t="shared" si="9"/>
        <v>53.498796970505275</v>
      </c>
      <c r="I70" s="94">
        <f t="shared" si="2"/>
        <v>8.9164661617508791</v>
      </c>
      <c r="J70" s="94"/>
      <c r="K70" s="94"/>
      <c r="L70" s="94"/>
      <c r="M70" s="95">
        <f t="shared" si="3"/>
        <v>53.498796970505275</v>
      </c>
      <c r="N70" s="94">
        <f t="shared" si="4"/>
        <v>-748.98315758707395</v>
      </c>
      <c r="T70" s="98">
        <f t="shared" si="10"/>
        <v>53.498796970505275</v>
      </c>
    </row>
    <row r="71" spans="1:20">
      <c r="A71" s="92">
        <v>51</v>
      </c>
      <c r="B71" s="93">
        <f t="shared" si="5"/>
        <v>47017</v>
      </c>
      <c r="C71" s="94">
        <f t="shared" si="6"/>
        <v>53.498796970505275</v>
      </c>
      <c r="D71" s="94">
        <f t="shared" si="1"/>
        <v>0</v>
      </c>
      <c r="E71" s="94">
        <f t="shared" si="7"/>
        <v>0</v>
      </c>
      <c r="F71" s="94">
        <f t="shared" si="8"/>
        <v>0</v>
      </c>
      <c r="G71" s="94">
        <f t="shared" si="11"/>
        <v>0</v>
      </c>
      <c r="H71" s="94">
        <f t="shared" si="9"/>
        <v>53.498796970505275</v>
      </c>
      <c r="I71" s="94">
        <f t="shared" si="2"/>
        <v>8.9164661617508791</v>
      </c>
      <c r="J71" s="94"/>
      <c r="K71" s="94"/>
      <c r="L71" s="94"/>
      <c r="M71" s="95">
        <f t="shared" si="3"/>
        <v>53.498796970505275</v>
      </c>
      <c r="N71" s="94">
        <f t="shared" si="4"/>
        <v>-802.48195455757923</v>
      </c>
      <c r="T71" s="98">
        <f t="shared" si="10"/>
        <v>53.498796970505275</v>
      </c>
    </row>
    <row r="72" spans="1:20">
      <c r="A72" s="92">
        <v>52</v>
      </c>
      <c r="B72" s="93">
        <f t="shared" si="5"/>
        <v>47047</v>
      </c>
      <c r="C72" s="94">
        <f t="shared" si="6"/>
        <v>53.498796970505275</v>
      </c>
      <c r="D72" s="94">
        <f t="shared" si="1"/>
        <v>0</v>
      </c>
      <c r="E72" s="94">
        <f t="shared" si="7"/>
        <v>0</v>
      </c>
      <c r="F72" s="94">
        <f t="shared" si="8"/>
        <v>0</v>
      </c>
      <c r="G72" s="94">
        <f t="shared" si="11"/>
        <v>0</v>
      </c>
      <c r="H72" s="94">
        <f t="shared" si="9"/>
        <v>53.498796970505275</v>
      </c>
      <c r="I72" s="94">
        <f t="shared" si="2"/>
        <v>8.9164661617508791</v>
      </c>
      <c r="J72" s="94"/>
      <c r="K72" s="94"/>
      <c r="L72" s="94">
        <v>0</v>
      </c>
      <c r="M72" s="95">
        <f t="shared" si="3"/>
        <v>53.498796970505275</v>
      </c>
      <c r="N72" s="94">
        <f t="shared" si="4"/>
        <v>-855.98075152808451</v>
      </c>
      <c r="T72" s="98">
        <f t="shared" si="10"/>
        <v>53.498796970505275</v>
      </c>
    </row>
    <row r="73" spans="1:20">
      <c r="A73" s="92">
        <v>53</v>
      </c>
      <c r="B73" s="93">
        <f t="shared" si="5"/>
        <v>47078</v>
      </c>
      <c r="C73" s="94">
        <f t="shared" si="6"/>
        <v>53.498796970505275</v>
      </c>
      <c r="D73" s="94">
        <f t="shared" si="1"/>
        <v>0</v>
      </c>
      <c r="E73" s="94">
        <f t="shared" si="7"/>
        <v>0</v>
      </c>
      <c r="F73" s="94">
        <f t="shared" si="8"/>
        <v>0</v>
      </c>
      <c r="G73" s="94">
        <f t="shared" si="11"/>
        <v>0</v>
      </c>
      <c r="H73" s="94">
        <f t="shared" si="9"/>
        <v>53.498796970505275</v>
      </c>
      <c r="I73" s="94">
        <f t="shared" si="2"/>
        <v>8.9164661617508791</v>
      </c>
      <c r="J73" s="94"/>
      <c r="K73" s="94"/>
      <c r="L73" s="94"/>
      <c r="M73" s="95">
        <f t="shared" si="3"/>
        <v>53.498796970505275</v>
      </c>
      <c r="N73" s="94">
        <f t="shared" si="4"/>
        <v>-909.47954849858979</v>
      </c>
      <c r="T73" s="98">
        <f t="shared" si="10"/>
        <v>53.498796970505275</v>
      </c>
    </row>
    <row r="74" spans="1:20">
      <c r="A74" s="92">
        <v>54</v>
      </c>
      <c r="B74" s="93">
        <f t="shared" si="5"/>
        <v>47108</v>
      </c>
      <c r="C74" s="94">
        <f t="shared" si="6"/>
        <v>53.498796970505275</v>
      </c>
      <c r="D74" s="94">
        <f t="shared" si="1"/>
        <v>0</v>
      </c>
      <c r="E74" s="94">
        <f t="shared" si="7"/>
        <v>0</v>
      </c>
      <c r="F74" s="94">
        <f t="shared" si="8"/>
        <v>0</v>
      </c>
      <c r="G74" s="94">
        <f t="shared" si="11"/>
        <v>0</v>
      </c>
      <c r="H74" s="94">
        <f t="shared" si="9"/>
        <v>53.498796970505275</v>
      </c>
      <c r="I74" s="94">
        <f t="shared" si="2"/>
        <v>8.9164661617508791</v>
      </c>
      <c r="J74" s="94"/>
      <c r="K74" s="94"/>
      <c r="L74" s="94"/>
      <c r="M74" s="95">
        <f t="shared" si="3"/>
        <v>53.498796970505275</v>
      </c>
      <c r="N74" s="94">
        <f t="shared" si="4"/>
        <v>-962.97834546909507</v>
      </c>
      <c r="T74" s="98">
        <f t="shared" si="10"/>
        <v>53.498796970505275</v>
      </c>
    </row>
    <row r="75" spans="1:20">
      <c r="A75" s="92">
        <v>55</v>
      </c>
      <c r="B75" s="93">
        <f t="shared" si="5"/>
        <v>47139</v>
      </c>
      <c r="C75" s="94">
        <f t="shared" si="6"/>
        <v>53.498796970505275</v>
      </c>
      <c r="D75" s="94">
        <f t="shared" si="1"/>
        <v>0</v>
      </c>
      <c r="E75" s="94">
        <f t="shared" si="7"/>
        <v>0</v>
      </c>
      <c r="F75" s="94">
        <f t="shared" si="8"/>
        <v>0</v>
      </c>
      <c r="G75" s="94">
        <f t="shared" si="11"/>
        <v>0</v>
      </c>
      <c r="H75" s="94">
        <f t="shared" si="9"/>
        <v>53.498796970505275</v>
      </c>
      <c r="I75" s="94">
        <f t="shared" si="2"/>
        <v>8.9164661617508791</v>
      </c>
      <c r="J75" s="94"/>
      <c r="K75" s="94"/>
      <c r="L75" s="94"/>
      <c r="M75" s="95">
        <f t="shared" si="3"/>
        <v>53.498796970505275</v>
      </c>
      <c r="N75" s="94">
        <f t="shared" si="4"/>
        <v>-1016.4771424396004</v>
      </c>
      <c r="T75" s="98">
        <f t="shared" si="10"/>
        <v>53.498796970505275</v>
      </c>
    </row>
    <row r="76" spans="1:20">
      <c r="A76" s="92">
        <v>56</v>
      </c>
      <c r="B76" s="93">
        <f t="shared" si="5"/>
        <v>47170</v>
      </c>
      <c r="C76" s="94">
        <f t="shared" si="6"/>
        <v>53.498796970505275</v>
      </c>
      <c r="D76" s="94">
        <f t="shared" si="1"/>
        <v>0</v>
      </c>
      <c r="E76" s="94">
        <f t="shared" si="7"/>
        <v>0</v>
      </c>
      <c r="F76" s="94">
        <f t="shared" si="8"/>
        <v>0</v>
      </c>
      <c r="G76" s="94">
        <f t="shared" si="11"/>
        <v>0</v>
      </c>
      <c r="H76" s="94">
        <f t="shared" si="9"/>
        <v>53.498796970505275</v>
      </c>
      <c r="I76" s="94">
        <f t="shared" si="2"/>
        <v>8.9164661617508791</v>
      </c>
      <c r="J76" s="94"/>
      <c r="K76" s="94"/>
      <c r="L76" s="94"/>
      <c r="M76" s="95">
        <f t="shared" si="3"/>
        <v>53.498796970505275</v>
      </c>
      <c r="N76" s="94">
        <f t="shared" si="4"/>
        <v>-1069.9759394101056</v>
      </c>
      <c r="T76" s="98">
        <f t="shared" si="10"/>
        <v>53.498796970505275</v>
      </c>
    </row>
    <row r="77" spans="1:20">
      <c r="A77" s="92">
        <v>57</v>
      </c>
      <c r="B77" s="93">
        <f t="shared" si="5"/>
        <v>47198</v>
      </c>
      <c r="C77" s="94">
        <f t="shared" si="6"/>
        <v>53.498796970505275</v>
      </c>
      <c r="D77" s="94">
        <f t="shared" si="1"/>
        <v>0</v>
      </c>
      <c r="E77" s="94">
        <f t="shared" si="7"/>
        <v>0</v>
      </c>
      <c r="F77" s="94">
        <f t="shared" si="8"/>
        <v>0</v>
      </c>
      <c r="G77" s="94">
        <f t="shared" si="11"/>
        <v>0</v>
      </c>
      <c r="H77" s="94">
        <f t="shared" si="9"/>
        <v>53.498796970505275</v>
      </c>
      <c r="I77" s="94">
        <f t="shared" si="2"/>
        <v>8.9164661617508791</v>
      </c>
      <c r="J77" s="94"/>
      <c r="K77" s="94"/>
      <c r="L77" s="94"/>
      <c r="M77" s="95">
        <f t="shared" si="3"/>
        <v>53.498796970505275</v>
      </c>
      <c r="N77" s="94">
        <f t="shared" si="4"/>
        <v>-1123.4747363806109</v>
      </c>
      <c r="T77" s="98">
        <f t="shared" si="10"/>
        <v>53.498796970505275</v>
      </c>
    </row>
    <row r="78" spans="1:20">
      <c r="A78" s="92">
        <v>58</v>
      </c>
      <c r="B78" s="93">
        <f t="shared" si="5"/>
        <v>47229</v>
      </c>
      <c r="C78" s="94">
        <f t="shared" si="6"/>
        <v>53.498796970505275</v>
      </c>
      <c r="D78" s="94">
        <f t="shared" si="1"/>
        <v>0</v>
      </c>
      <c r="E78" s="94">
        <f t="shared" si="7"/>
        <v>0</v>
      </c>
      <c r="F78" s="94">
        <f t="shared" si="8"/>
        <v>0</v>
      </c>
      <c r="G78" s="94">
        <f t="shared" si="11"/>
        <v>0</v>
      </c>
      <c r="H78" s="94">
        <f t="shared" si="9"/>
        <v>53.498796970505275</v>
      </c>
      <c r="I78" s="94">
        <f t="shared" si="2"/>
        <v>8.9164661617508791</v>
      </c>
      <c r="J78" s="94"/>
      <c r="K78" s="94"/>
      <c r="L78" s="94"/>
      <c r="M78" s="95">
        <f t="shared" si="3"/>
        <v>53.498796970505275</v>
      </c>
      <c r="N78" s="94">
        <f t="shared" si="4"/>
        <v>-1176.9735333511162</v>
      </c>
      <c r="T78" s="98">
        <f t="shared" si="10"/>
        <v>53.498796970505275</v>
      </c>
    </row>
    <row r="79" spans="1:20">
      <c r="A79" s="92">
        <v>59</v>
      </c>
      <c r="B79" s="93">
        <f t="shared" si="5"/>
        <v>47259</v>
      </c>
      <c r="C79" s="94">
        <f t="shared" si="6"/>
        <v>53.498796970505275</v>
      </c>
      <c r="D79" s="94">
        <f t="shared" si="1"/>
        <v>0</v>
      </c>
      <c r="E79" s="94">
        <f t="shared" si="7"/>
        <v>0</v>
      </c>
      <c r="F79" s="94">
        <f t="shared" si="8"/>
        <v>0</v>
      </c>
      <c r="G79" s="94">
        <f t="shared" si="11"/>
        <v>0</v>
      </c>
      <c r="H79" s="94">
        <f t="shared" si="9"/>
        <v>53.498796970505275</v>
      </c>
      <c r="I79" s="94">
        <f t="shared" si="2"/>
        <v>8.9164661617508791</v>
      </c>
      <c r="J79" s="94"/>
      <c r="K79" s="94"/>
      <c r="L79" s="94"/>
      <c r="M79" s="95">
        <f t="shared" si="3"/>
        <v>53.498796970505275</v>
      </c>
      <c r="N79" s="94">
        <f t="shared" si="4"/>
        <v>-1230.4723303216215</v>
      </c>
      <c r="T79" s="98">
        <f t="shared" si="10"/>
        <v>53.498796970505275</v>
      </c>
    </row>
    <row r="80" spans="1:20">
      <c r="A80" s="92">
        <v>60</v>
      </c>
      <c r="B80" s="93">
        <f t="shared" si="5"/>
        <v>47290</v>
      </c>
      <c r="C80" s="94">
        <f t="shared" si="6"/>
        <v>53.498796970505275</v>
      </c>
      <c r="D80" s="94">
        <f t="shared" si="1"/>
        <v>0</v>
      </c>
      <c r="E80" s="94">
        <f t="shared" si="7"/>
        <v>0</v>
      </c>
      <c r="F80" s="94">
        <f t="shared" si="8"/>
        <v>0</v>
      </c>
      <c r="G80" s="94">
        <f t="shared" si="11"/>
        <v>0</v>
      </c>
      <c r="H80" s="94">
        <f t="shared" si="9"/>
        <v>53.498796970505275</v>
      </c>
      <c r="I80" s="94">
        <f t="shared" si="2"/>
        <v>8.9164661617508791</v>
      </c>
      <c r="J80" s="94"/>
      <c r="K80" s="94"/>
      <c r="L80" s="94"/>
      <c r="M80" s="95">
        <f t="shared" si="3"/>
        <v>53.498796970505275</v>
      </c>
      <c r="N80" s="94">
        <f t="shared" si="4"/>
        <v>-1283.9711272921268</v>
      </c>
      <c r="T80" s="98">
        <f t="shared" si="10"/>
        <v>53.498796970505275</v>
      </c>
    </row>
    <row r="81" spans="1:20">
      <c r="A81" s="92">
        <v>61</v>
      </c>
      <c r="B81" s="93">
        <f t="shared" si="5"/>
        <v>47320</v>
      </c>
      <c r="C81" s="94">
        <f t="shared" ref="C81:C104" si="12">IF(A81&lt;=$F$7,(IF($F$6&lt;=40%,IF($F$9=$I$6,(-$C$20-$F$5*$K$14)/$F$7+IF(A81=$F$7,$F$5*$K$14,0),MINA(((N80-$F$5*$K$14)/($F$7-A81+1)*$F$10),(N80-$F$5*$K$14))+IF(A81=$F$7,$F$5*$K$14,0)),IF(A81=1,F66*(F67-40%),IF($F$9=$I$6,(-$C$20-$F$5*$K$14)/$F$7+IF(A81=$F$7,$F$5*$K$14,0),MINA(((N80-$F$5*$K$14)/($F$7-A81+1)*$F$10),(N80-$F$5*$K$14))+IF(A81=$F$7,$F$5*$K$14,0))))),0)</f>
        <v>0</v>
      </c>
      <c r="D81" s="94">
        <f t="shared" si="1"/>
        <v>0</v>
      </c>
      <c r="E81" s="94">
        <f t="shared" si="7"/>
        <v>0</v>
      </c>
      <c r="F81" s="94">
        <f t="shared" si="8"/>
        <v>0</v>
      </c>
      <c r="G81" s="94">
        <f t="shared" si="11"/>
        <v>0</v>
      </c>
      <c r="H81" s="94">
        <f t="shared" si="9"/>
        <v>0</v>
      </c>
      <c r="I81" s="94">
        <f t="shared" si="2"/>
        <v>0</v>
      </c>
      <c r="J81" s="94"/>
      <c r="K81" s="94"/>
      <c r="L81" s="94"/>
      <c r="M81" s="95">
        <f t="shared" si="3"/>
        <v>0</v>
      </c>
      <c r="N81" s="94">
        <f t="shared" si="4"/>
        <v>-1283.9711272921268</v>
      </c>
      <c r="T81" s="98"/>
    </row>
    <row r="82" spans="1:20">
      <c r="A82" s="92">
        <v>62</v>
      </c>
      <c r="B82" s="93">
        <f t="shared" si="5"/>
        <v>47351</v>
      </c>
      <c r="C82" s="94">
        <f t="shared" si="12"/>
        <v>0</v>
      </c>
      <c r="D82" s="94">
        <f t="shared" si="1"/>
        <v>0</v>
      </c>
      <c r="E82" s="94">
        <f t="shared" si="7"/>
        <v>0</v>
      </c>
      <c r="F82" s="94">
        <f t="shared" si="8"/>
        <v>0</v>
      </c>
      <c r="G82" s="94">
        <f t="shared" si="11"/>
        <v>0</v>
      </c>
      <c r="H82" s="94">
        <f t="shared" si="9"/>
        <v>0</v>
      </c>
      <c r="I82" s="94">
        <f t="shared" si="2"/>
        <v>0</v>
      </c>
      <c r="J82" s="94"/>
      <c r="K82" s="94"/>
      <c r="L82" s="94"/>
      <c r="M82" s="95">
        <f t="shared" si="3"/>
        <v>0</v>
      </c>
      <c r="N82" s="94">
        <f t="shared" si="4"/>
        <v>-1283.9711272921268</v>
      </c>
    </row>
    <row r="83" spans="1:20">
      <c r="A83" s="92">
        <v>63</v>
      </c>
      <c r="B83" s="93">
        <f t="shared" si="5"/>
        <v>47382</v>
      </c>
      <c r="C83" s="94">
        <f t="shared" si="12"/>
        <v>0</v>
      </c>
      <c r="D83" s="94">
        <f t="shared" si="1"/>
        <v>0</v>
      </c>
      <c r="E83" s="94">
        <f t="shared" si="7"/>
        <v>0</v>
      </c>
      <c r="F83" s="94">
        <f t="shared" si="8"/>
        <v>0</v>
      </c>
      <c r="G83" s="94">
        <f t="shared" si="11"/>
        <v>0</v>
      </c>
      <c r="H83" s="94">
        <f t="shared" si="9"/>
        <v>0</v>
      </c>
      <c r="I83" s="94">
        <f t="shared" si="2"/>
        <v>0</v>
      </c>
      <c r="J83" s="94"/>
      <c r="K83" s="94"/>
      <c r="L83" s="94"/>
      <c r="M83" s="95">
        <f t="shared" si="3"/>
        <v>0</v>
      </c>
      <c r="N83" s="94">
        <f t="shared" si="4"/>
        <v>-1283.9711272921268</v>
      </c>
    </row>
    <row r="84" spans="1:20">
      <c r="A84" s="92">
        <v>64</v>
      </c>
      <c r="B84" s="93">
        <f t="shared" si="5"/>
        <v>47412</v>
      </c>
      <c r="C84" s="94">
        <f t="shared" si="12"/>
        <v>0</v>
      </c>
      <c r="D84" s="94">
        <f t="shared" si="1"/>
        <v>0</v>
      </c>
      <c r="E84" s="94">
        <f t="shared" si="7"/>
        <v>0</v>
      </c>
      <c r="F84" s="94">
        <f t="shared" si="8"/>
        <v>0</v>
      </c>
      <c r="G84" s="94">
        <f t="shared" si="11"/>
        <v>0</v>
      </c>
      <c r="H84" s="94">
        <f t="shared" si="9"/>
        <v>0</v>
      </c>
      <c r="I84" s="94">
        <f t="shared" si="2"/>
        <v>0</v>
      </c>
      <c r="J84" s="94"/>
      <c r="K84" s="94"/>
      <c r="L84" s="94"/>
      <c r="M84" s="95">
        <f t="shared" si="3"/>
        <v>0</v>
      </c>
      <c r="N84" s="94">
        <f t="shared" si="4"/>
        <v>-1283.9711272921268</v>
      </c>
    </row>
    <row r="85" spans="1:20">
      <c r="A85" s="92">
        <v>65</v>
      </c>
      <c r="B85" s="93">
        <f t="shared" si="5"/>
        <v>47443</v>
      </c>
      <c r="C85" s="94">
        <f t="shared" si="12"/>
        <v>0</v>
      </c>
      <c r="D85" s="94">
        <f t="shared" ref="D85:D104" si="13">IF(A85&lt;=$F$7,IF($F$12=$I$9,$F$5*$F$13,N84*$F$14/12),0)+-IF(AND(A85&lt;=$M$9,$M$9&lt;&gt;0),$J$20/$M$9,0)+-IF(AND(A85&lt;=$M$10,$M$10&lt;&gt;0),$K$20/$M$10,0)</f>
        <v>0</v>
      </c>
      <c r="E85" s="94">
        <f t="shared" si="7"/>
        <v>0</v>
      </c>
      <c r="F85" s="94">
        <f t="shared" si="8"/>
        <v>0</v>
      </c>
      <c r="G85" s="94">
        <f t="shared" si="11"/>
        <v>0</v>
      </c>
      <c r="H85" s="94">
        <f t="shared" si="9"/>
        <v>0</v>
      </c>
      <c r="I85" s="94">
        <f t="shared" ref="I85:I104" si="14">C85*20/120</f>
        <v>0</v>
      </c>
      <c r="J85" s="94"/>
      <c r="K85" s="94"/>
      <c r="L85" s="94"/>
      <c r="M85" s="95">
        <f t="shared" ref="M85:M104" si="15">SUM(C85,D85,G85,J85,K85,L85)</f>
        <v>0</v>
      </c>
      <c r="N85" s="94">
        <f t="shared" ref="N85:N104" si="16">N84-C85</f>
        <v>-1283.9711272921268</v>
      </c>
    </row>
    <row r="86" spans="1:20">
      <c r="A86" s="92">
        <v>66</v>
      </c>
      <c r="B86" s="93">
        <f t="shared" ref="B86:B104" si="17">EOMONTH(B85,0)+DAY(B85)</f>
        <v>47473</v>
      </c>
      <c r="C86" s="94">
        <f t="shared" si="12"/>
        <v>0</v>
      </c>
      <c r="D86" s="94">
        <f t="shared" si="13"/>
        <v>0</v>
      </c>
      <c r="E86" s="94">
        <f t="shared" ref="E86:E94" si="18">IF($R$17="ЮЛ",D86*0.2,0)</f>
        <v>0</v>
      </c>
      <c r="F86" s="94">
        <f t="shared" ref="F86:F94" si="19">IF(AND(A86&lt;=$F$7,$S$17="ДА"),($F$5*VLOOKUP(ROUNDUP(A86/12,0),$O$7:$Q$14,3,0)/12),0)</f>
        <v>0</v>
      </c>
      <c r="G86" s="94">
        <f t="shared" si="11"/>
        <v>0</v>
      </c>
      <c r="H86" s="94">
        <f t="shared" ref="H86:H104" si="20">SUM(C86:G86)+SUM(C86:G86)*$F$15</f>
        <v>0</v>
      </c>
      <c r="I86" s="94">
        <f t="shared" si="14"/>
        <v>0</v>
      </c>
      <c r="J86" s="94"/>
      <c r="K86" s="94"/>
      <c r="L86" s="94"/>
      <c r="M86" s="95">
        <f t="shared" si="15"/>
        <v>0</v>
      </c>
      <c r="N86" s="94">
        <f t="shared" si="16"/>
        <v>-1283.9711272921268</v>
      </c>
    </row>
    <row r="87" spans="1:20">
      <c r="A87" s="92">
        <v>67</v>
      </c>
      <c r="B87" s="93">
        <f t="shared" si="17"/>
        <v>47504</v>
      </c>
      <c r="C87" s="94">
        <f t="shared" si="12"/>
        <v>0</v>
      </c>
      <c r="D87" s="94">
        <f t="shared" si="13"/>
        <v>0</v>
      </c>
      <c r="E87" s="94">
        <f t="shared" si="18"/>
        <v>0</v>
      </c>
      <c r="F87" s="94">
        <f t="shared" si="19"/>
        <v>0</v>
      </c>
      <c r="G87" s="94">
        <f t="shared" si="11"/>
        <v>0</v>
      </c>
      <c r="H87" s="94">
        <f t="shared" si="20"/>
        <v>0</v>
      </c>
      <c r="I87" s="94">
        <f t="shared" si="14"/>
        <v>0</v>
      </c>
      <c r="J87" s="94"/>
      <c r="K87" s="94"/>
      <c r="L87" s="94"/>
      <c r="M87" s="95">
        <f t="shared" si="15"/>
        <v>0</v>
      </c>
      <c r="N87" s="94">
        <f t="shared" si="16"/>
        <v>-1283.9711272921268</v>
      </c>
    </row>
    <row r="88" spans="1:20">
      <c r="A88" s="92">
        <v>68</v>
      </c>
      <c r="B88" s="93">
        <f t="shared" si="17"/>
        <v>47535</v>
      </c>
      <c r="C88" s="94">
        <f t="shared" si="12"/>
        <v>0</v>
      </c>
      <c r="D88" s="94">
        <f t="shared" si="13"/>
        <v>0</v>
      </c>
      <c r="E88" s="94">
        <f t="shared" si="18"/>
        <v>0</v>
      </c>
      <c r="F88" s="94">
        <f t="shared" si="19"/>
        <v>0</v>
      </c>
      <c r="G88" s="94">
        <f t="shared" si="11"/>
        <v>0</v>
      </c>
      <c r="H88" s="94">
        <f t="shared" si="20"/>
        <v>0</v>
      </c>
      <c r="I88" s="94">
        <f t="shared" si="14"/>
        <v>0</v>
      </c>
      <c r="J88" s="94"/>
      <c r="K88" s="94"/>
      <c r="L88" s="94"/>
      <c r="M88" s="95">
        <f t="shared" si="15"/>
        <v>0</v>
      </c>
      <c r="N88" s="94">
        <f t="shared" si="16"/>
        <v>-1283.9711272921268</v>
      </c>
    </row>
    <row r="89" spans="1:20">
      <c r="A89" s="92">
        <v>69</v>
      </c>
      <c r="B89" s="93">
        <f t="shared" si="17"/>
        <v>47563</v>
      </c>
      <c r="C89" s="94">
        <f t="shared" si="12"/>
        <v>0</v>
      </c>
      <c r="D89" s="94">
        <f t="shared" si="13"/>
        <v>0</v>
      </c>
      <c r="E89" s="94">
        <f t="shared" si="18"/>
        <v>0</v>
      </c>
      <c r="F89" s="94">
        <f t="shared" si="19"/>
        <v>0</v>
      </c>
      <c r="G89" s="94">
        <f t="shared" si="11"/>
        <v>0</v>
      </c>
      <c r="H89" s="94">
        <f t="shared" si="20"/>
        <v>0</v>
      </c>
      <c r="I89" s="94">
        <f t="shared" si="14"/>
        <v>0</v>
      </c>
      <c r="J89" s="94"/>
      <c r="K89" s="94"/>
      <c r="L89" s="94"/>
      <c r="M89" s="95">
        <f t="shared" si="15"/>
        <v>0</v>
      </c>
      <c r="N89" s="94">
        <f t="shared" si="16"/>
        <v>-1283.9711272921268</v>
      </c>
    </row>
    <row r="90" spans="1:20">
      <c r="A90" s="92">
        <v>70</v>
      </c>
      <c r="B90" s="93">
        <f t="shared" si="17"/>
        <v>47594</v>
      </c>
      <c r="C90" s="94">
        <f t="shared" si="12"/>
        <v>0</v>
      </c>
      <c r="D90" s="94">
        <f t="shared" si="13"/>
        <v>0</v>
      </c>
      <c r="E90" s="94">
        <f t="shared" si="18"/>
        <v>0</v>
      </c>
      <c r="F90" s="94">
        <f t="shared" si="19"/>
        <v>0</v>
      </c>
      <c r="G90" s="94">
        <f t="shared" si="11"/>
        <v>0</v>
      </c>
      <c r="H90" s="94">
        <f t="shared" si="20"/>
        <v>0</v>
      </c>
      <c r="I90" s="94">
        <f t="shared" si="14"/>
        <v>0</v>
      </c>
      <c r="J90" s="94"/>
      <c r="K90" s="94"/>
      <c r="L90" s="94"/>
      <c r="M90" s="95">
        <f t="shared" si="15"/>
        <v>0</v>
      </c>
      <c r="N90" s="94">
        <f t="shared" si="16"/>
        <v>-1283.9711272921268</v>
      </c>
    </row>
    <row r="91" spans="1:20">
      <c r="A91" s="92">
        <v>71</v>
      </c>
      <c r="B91" s="93">
        <f t="shared" si="17"/>
        <v>47624</v>
      </c>
      <c r="C91" s="94">
        <f t="shared" si="12"/>
        <v>0</v>
      </c>
      <c r="D91" s="94">
        <f t="shared" si="13"/>
        <v>0</v>
      </c>
      <c r="E91" s="94">
        <f t="shared" si="18"/>
        <v>0</v>
      </c>
      <c r="F91" s="94">
        <f t="shared" si="19"/>
        <v>0</v>
      </c>
      <c r="G91" s="94">
        <f t="shared" si="11"/>
        <v>0</v>
      </c>
      <c r="H91" s="94">
        <f t="shared" si="20"/>
        <v>0</v>
      </c>
      <c r="I91" s="94">
        <f t="shared" si="14"/>
        <v>0</v>
      </c>
      <c r="J91" s="94"/>
      <c r="K91" s="94"/>
      <c r="L91" s="94"/>
      <c r="M91" s="95">
        <f t="shared" si="15"/>
        <v>0</v>
      </c>
      <c r="N91" s="94">
        <f t="shared" si="16"/>
        <v>-1283.9711272921268</v>
      </c>
    </row>
    <row r="92" spans="1:20">
      <c r="A92" s="92">
        <v>72</v>
      </c>
      <c r="B92" s="93">
        <f t="shared" si="17"/>
        <v>47655</v>
      </c>
      <c r="C92" s="94">
        <f t="shared" si="12"/>
        <v>0</v>
      </c>
      <c r="D92" s="94">
        <f t="shared" si="13"/>
        <v>0</v>
      </c>
      <c r="E92" s="94">
        <f t="shared" si="18"/>
        <v>0</v>
      </c>
      <c r="F92" s="94">
        <f t="shared" si="19"/>
        <v>0</v>
      </c>
      <c r="G92" s="94">
        <f t="shared" si="11"/>
        <v>0</v>
      </c>
      <c r="H92" s="94">
        <f t="shared" si="20"/>
        <v>0</v>
      </c>
      <c r="I92" s="94">
        <f t="shared" si="14"/>
        <v>0</v>
      </c>
      <c r="J92" s="94"/>
      <c r="K92" s="94"/>
      <c r="L92" s="94"/>
      <c r="M92" s="95">
        <f t="shared" si="15"/>
        <v>0</v>
      </c>
      <c r="N92" s="94">
        <f t="shared" si="16"/>
        <v>-1283.9711272921268</v>
      </c>
    </row>
    <row r="93" spans="1:20">
      <c r="A93" s="92">
        <v>73</v>
      </c>
      <c r="B93" s="93">
        <f t="shared" si="17"/>
        <v>47685</v>
      </c>
      <c r="C93" s="94">
        <f t="shared" si="12"/>
        <v>0</v>
      </c>
      <c r="D93" s="94">
        <f t="shared" si="13"/>
        <v>0</v>
      </c>
      <c r="E93" s="94">
        <f t="shared" si="18"/>
        <v>0</v>
      </c>
      <c r="F93" s="94">
        <f t="shared" si="19"/>
        <v>0</v>
      </c>
      <c r="G93" s="94">
        <f t="shared" si="11"/>
        <v>0</v>
      </c>
      <c r="H93" s="94">
        <f t="shared" si="20"/>
        <v>0</v>
      </c>
      <c r="I93" s="94">
        <f t="shared" si="14"/>
        <v>0</v>
      </c>
      <c r="J93" s="94"/>
      <c r="K93" s="94"/>
      <c r="L93" s="94"/>
      <c r="M93" s="95">
        <f t="shared" si="15"/>
        <v>0</v>
      </c>
      <c r="N93" s="94">
        <f t="shared" si="16"/>
        <v>-1283.9711272921268</v>
      </c>
    </row>
    <row r="94" spans="1:20">
      <c r="A94" s="92">
        <v>74</v>
      </c>
      <c r="B94" s="93">
        <f t="shared" si="17"/>
        <v>47716</v>
      </c>
      <c r="C94" s="94">
        <f t="shared" si="12"/>
        <v>0</v>
      </c>
      <c r="D94" s="94">
        <f t="shared" si="13"/>
        <v>0</v>
      </c>
      <c r="E94" s="94">
        <f t="shared" si="18"/>
        <v>0</v>
      </c>
      <c r="F94" s="94">
        <f t="shared" si="19"/>
        <v>0</v>
      </c>
      <c r="G94" s="94">
        <f t="shared" si="11"/>
        <v>0</v>
      </c>
      <c r="H94" s="94">
        <f t="shared" si="20"/>
        <v>0</v>
      </c>
      <c r="I94" s="94">
        <f t="shared" si="14"/>
        <v>0</v>
      </c>
      <c r="J94" s="94"/>
      <c r="K94" s="94"/>
      <c r="L94" s="94"/>
      <c r="M94" s="95">
        <f t="shared" si="15"/>
        <v>0</v>
      </c>
      <c r="N94" s="94">
        <f t="shared" si="16"/>
        <v>-1283.9711272921268</v>
      </c>
    </row>
    <row r="95" spans="1:20">
      <c r="A95" s="92">
        <v>75</v>
      </c>
      <c r="B95" s="93">
        <f t="shared" si="17"/>
        <v>47747</v>
      </c>
      <c r="C95" s="94">
        <f t="shared" si="12"/>
        <v>0</v>
      </c>
      <c r="D95" s="94">
        <f t="shared" si="13"/>
        <v>0</v>
      </c>
      <c r="E95" s="94">
        <f t="shared" ref="E95:E104" si="21">D95*0.2</f>
        <v>0</v>
      </c>
      <c r="F95" s="94">
        <f t="shared" ref="F95:F104" si="22">IF(A95&lt;=$F$7,$F$5*VLOOKUP(ROUNDUP(A95/12,0),$O$7:$Q$14,3,0)/12,0)</f>
        <v>0</v>
      </c>
      <c r="G95" s="94">
        <f t="shared" si="11"/>
        <v>0</v>
      </c>
      <c r="H95" s="94">
        <f t="shared" si="20"/>
        <v>0</v>
      </c>
      <c r="I95" s="94">
        <f t="shared" si="14"/>
        <v>0</v>
      </c>
      <c r="J95" s="94"/>
      <c r="K95" s="94"/>
      <c r="L95" s="94"/>
      <c r="M95" s="95">
        <f t="shared" si="15"/>
        <v>0</v>
      </c>
      <c r="N95" s="94">
        <f t="shared" si="16"/>
        <v>-1283.9711272921268</v>
      </c>
    </row>
    <row r="96" spans="1:20">
      <c r="A96" s="92">
        <v>76</v>
      </c>
      <c r="B96" s="93">
        <f t="shared" si="17"/>
        <v>47777</v>
      </c>
      <c r="C96" s="94">
        <f t="shared" si="12"/>
        <v>0</v>
      </c>
      <c r="D96" s="94">
        <f t="shared" si="13"/>
        <v>0</v>
      </c>
      <c r="E96" s="94">
        <f t="shared" si="21"/>
        <v>0</v>
      </c>
      <c r="F96" s="94">
        <f t="shared" si="22"/>
        <v>0</v>
      </c>
      <c r="G96" s="94">
        <f t="shared" si="11"/>
        <v>0</v>
      </c>
      <c r="H96" s="94">
        <f t="shared" si="20"/>
        <v>0</v>
      </c>
      <c r="I96" s="94">
        <f t="shared" si="14"/>
        <v>0</v>
      </c>
      <c r="J96" s="94"/>
      <c r="K96" s="94"/>
      <c r="L96" s="94"/>
      <c r="M96" s="95">
        <f t="shared" si="15"/>
        <v>0</v>
      </c>
      <c r="N96" s="94">
        <f t="shared" si="16"/>
        <v>-1283.9711272921268</v>
      </c>
    </row>
    <row r="97" spans="1:14">
      <c r="A97" s="92">
        <v>77</v>
      </c>
      <c r="B97" s="93">
        <f t="shared" si="17"/>
        <v>47808</v>
      </c>
      <c r="C97" s="94">
        <f t="shared" si="12"/>
        <v>0</v>
      </c>
      <c r="D97" s="94">
        <f t="shared" si="13"/>
        <v>0</v>
      </c>
      <c r="E97" s="94">
        <f t="shared" si="21"/>
        <v>0</v>
      </c>
      <c r="F97" s="94">
        <f t="shared" si="22"/>
        <v>0</v>
      </c>
      <c r="G97" s="94">
        <f t="shared" si="11"/>
        <v>0</v>
      </c>
      <c r="H97" s="94">
        <f t="shared" si="20"/>
        <v>0</v>
      </c>
      <c r="I97" s="94">
        <f t="shared" si="14"/>
        <v>0</v>
      </c>
      <c r="J97" s="94"/>
      <c r="K97" s="94"/>
      <c r="L97" s="94"/>
      <c r="M97" s="95">
        <f t="shared" si="15"/>
        <v>0</v>
      </c>
      <c r="N97" s="94">
        <f t="shared" si="16"/>
        <v>-1283.9711272921268</v>
      </c>
    </row>
    <row r="98" spans="1:14">
      <c r="A98" s="92">
        <v>78</v>
      </c>
      <c r="B98" s="93">
        <f t="shared" si="17"/>
        <v>47838</v>
      </c>
      <c r="C98" s="94">
        <f t="shared" si="12"/>
        <v>0</v>
      </c>
      <c r="D98" s="94">
        <f t="shared" si="13"/>
        <v>0</v>
      </c>
      <c r="E98" s="94">
        <f t="shared" si="21"/>
        <v>0</v>
      </c>
      <c r="F98" s="94">
        <f t="shared" si="22"/>
        <v>0</v>
      </c>
      <c r="G98" s="94">
        <f t="shared" si="11"/>
        <v>0</v>
      </c>
      <c r="H98" s="94">
        <f t="shared" si="20"/>
        <v>0</v>
      </c>
      <c r="I98" s="94">
        <f t="shared" si="14"/>
        <v>0</v>
      </c>
      <c r="J98" s="94"/>
      <c r="K98" s="94"/>
      <c r="L98" s="94"/>
      <c r="M98" s="95">
        <f t="shared" si="15"/>
        <v>0</v>
      </c>
      <c r="N98" s="94">
        <f t="shared" si="16"/>
        <v>-1283.9711272921268</v>
      </c>
    </row>
    <row r="99" spans="1:14">
      <c r="A99" s="92">
        <v>79</v>
      </c>
      <c r="B99" s="93">
        <f t="shared" si="17"/>
        <v>47869</v>
      </c>
      <c r="C99" s="94">
        <f t="shared" si="12"/>
        <v>0</v>
      </c>
      <c r="D99" s="94">
        <f t="shared" si="13"/>
        <v>0</v>
      </c>
      <c r="E99" s="94">
        <f t="shared" si="21"/>
        <v>0</v>
      </c>
      <c r="F99" s="94">
        <f t="shared" si="22"/>
        <v>0</v>
      </c>
      <c r="G99" s="94">
        <f t="shared" si="11"/>
        <v>0</v>
      </c>
      <c r="H99" s="94">
        <f t="shared" si="20"/>
        <v>0</v>
      </c>
      <c r="I99" s="94">
        <f t="shared" si="14"/>
        <v>0</v>
      </c>
      <c r="J99" s="94"/>
      <c r="K99" s="94"/>
      <c r="L99" s="94"/>
      <c r="M99" s="95">
        <f t="shared" si="15"/>
        <v>0</v>
      </c>
      <c r="N99" s="94">
        <f t="shared" si="16"/>
        <v>-1283.9711272921268</v>
      </c>
    </row>
    <row r="100" spans="1:14">
      <c r="A100" s="92">
        <v>80</v>
      </c>
      <c r="B100" s="93">
        <f t="shared" si="17"/>
        <v>47900</v>
      </c>
      <c r="C100" s="94">
        <f t="shared" si="12"/>
        <v>0</v>
      </c>
      <c r="D100" s="94">
        <f t="shared" si="13"/>
        <v>0</v>
      </c>
      <c r="E100" s="94">
        <f t="shared" si="21"/>
        <v>0</v>
      </c>
      <c r="F100" s="94">
        <f t="shared" si="22"/>
        <v>0</v>
      </c>
      <c r="G100" s="94">
        <f t="shared" si="11"/>
        <v>0</v>
      </c>
      <c r="H100" s="94">
        <f t="shared" si="20"/>
        <v>0</v>
      </c>
      <c r="I100" s="94">
        <f t="shared" si="14"/>
        <v>0</v>
      </c>
      <c r="J100" s="94"/>
      <c r="K100" s="94"/>
      <c r="L100" s="94"/>
      <c r="M100" s="95">
        <f t="shared" si="15"/>
        <v>0</v>
      </c>
      <c r="N100" s="94">
        <f t="shared" si="16"/>
        <v>-1283.9711272921268</v>
      </c>
    </row>
    <row r="101" spans="1:14">
      <c r="A101" s="92">
        <v>81</v>
      </c>
      <c r="B101" s="93">
        <f t="shared" si="17"/>
        <v>47928</v>
      </c>
      <c r="C101" s="94">
        <f t="shared" si="12"/>
        <v>0</v>
      </c>
      <c r="D101" s="94">
        <f t="shared" si="13"/>
        <v>0</v>
      </c>
      <c r="E101" s="94">
        <f t="shared" si="21"/>
        <v>0</v>
      </c>
      <c r="F101" s="94">
        <f t="shared" si="22"/>
        <v>0</v>
      </c>
      <c r="G101" s="94">
        <f t="shared" si="11"/>
        <v>0</v>
      </c>
      <c r="H101" s="94">
        <f t="shared" si="20"/>
        <v>0</v>
      </c>
      <c r="I101" s="94">
        <f t="shared" si="14"/>
        <v>0</v>
      </c>
      <c r="J101" s="94"/>
      <c r="K101" s="94"/>
      <c r="L101" s="94"/>
      <c r="M101" s="95">
        <f t="shared" si="15"/>
        <v>0</v>
      </c>
      <c r="N101" s="94">
        <f t="shared" si="16"/>
        <v>-1283.9711272921268</v>
      </c>
    </row>
    <row r="102" spans="1:14">
      <c r="A102" s="92">
        <v>82</v>
      </c>
      <c r="B102" s="93">
        <f t="shared" si="17"/>
        <v>47959</v>
      </c>
      <c r="C102" s="94">
        <f t="shared" si="12"/>
        <v>0</v>
      </c>
      <c r="D102" s="94">
        <f t="shared" si="13"/>
        <v>0</v>
      </c>
      <c r="E102" s="94">
        <f t="shared" si="21"/>
        <v>0</v>
      </c>
      <c r="F102" s="94">
        <f t="shared" si="22"/>
        <v>0</v>
      </c>
      <c r="G102" s="94">
        <f t="shared" si="11"/>
        <v>0</v>
      </c>
      <c r="H102" s="94">
        <f t="shared" si="20"/>
        <v>0</v>
      </c>
      <c r="I102" s="94">
        <f t="shared" si="14"/>
        <v>0</v>
      </c>
      <c r="J102" s="94"/>
      <c r="K102" s="94"/>
      <c r="L102" s="94"/>
      <c r="M102" s="95">
        <f t="shared" si="15"/>
        <v>0</v>
      </c>
      <c r="N102" s="94">
        <f t="shared" si="16"/>
        <v>-1283.9711272921268</v>
      </c>
    </row>
    <row r="103" spans="1:14">
      <c r="A103" s="92">
        <v>83</v>
      </c>
      <c r="B103" s="93">
        <f t="shared" si="17"/>
        <v>47989</v>
      </c>
      <c r="C103" s="94">
        <f t="shared" si="12"/>
        <v>0</v>
      </c>
      <c r="D103" s="94">
        <f t="shared" si="13"/>
        <v>0</v>
      </c>
      <c r="E103" s="94">
        <f t="shared" si="21"/>
        <v>0</v>
      </c>
      <c r="F103" s="94">
        <f t="shared" si="22"/>
        <v>0</v>
      </c>
      <c r="G103" s="94">
        <f t="shared" si="11"/>
        <v>0</v>
      </c>
      <c r="H103" s="94">
        <f t="shared" si="20"/>
        <v>0</v>
      </c>
      <c r="I103" s="94">
        <f t="shared" si="14"/>
        <v>0</v>
      </c>
      <c r="J103" s="94"/>
      <c r="K103" s="94"/>
      <c r="L103" s="94"/>
      <c r="M103" s="95">
        <f t="shared" si="15"/>
        <v>0</v>
      </c>
      <c r="N103" s="94">
        <f t="shared" si="16"/>
        <v>-1283.9711272921268</v>
      </c>
    </row>
    <row r="104" spans="1:14">
      <c r="A104" s="92">
        <v>84</v>
      </c>
      <c r="B104" s="93">
        <f t="shared" si="17"/>
        <v>48020</v>
      </c>
      <c r="C104" s="94">
        <f t="shared" si="12"/>
        <v>0</v>
      </c>
      <c r="D104" s="94">
        <f t="shared" si="13"/>
        <v>0</v>
      </c>
      <c r="E104" s="94">
        <f t="shared" si="21"/>
        <v>0</v>
      </c>
      <c r="F104" s="94">
        <f t="shared" si="22"/>
        <v>0</v>
      </c>
      <c r="G104" s="94">
        <f t="shared" si="11"/>
        <v>0</v>
      </c>
      <c r="H104" s="94">
        <f t="shared" si="20"/>
        <v>0</v>
      </c>
      <c r="I104" s="94">
        <f t="shared" si="14"/>
        <v>0</v>
      </c>
      <c r="J104" s="94"/>
      <c r="K104" s="94"/>
      <c r="L104" s="94"/>
      <c r="M104" s="95">
        <f t="shared" si="15"/>
        <v>0</v>
      </c>
      <c r="N104" s="94">
        <f t="shared" si="16"/>
        <v>-1283.9711272921268</v>
      </c>
    </row>
    <row r="106" spans="1:14">
      <c r="B106" s="96"/>
    </row>
    <row r="107" spans="1:14">
      <c r="B107" s="94"/>
    </row>
  </sheetData>
  <conditionalFormatting sqref="B18">
    <cfRule type="cellIs" dxfId="38" priority="5" operator="equal">
      <formula>0</formula>
    </cfRule>
    <cfRule type="cellIs" dxfId="37" priority="4" operator="greaterThan">
      <formula>0</formula>
    </cfRule>
    <cfRule type="cellIs" dxfId="36" priority="3" operator="lessThan">
      <formula>0</formula>
    </cfRule>
  </conditionalFormatting>
  <conditionalFormatting sqref="I18">
    <cfRule type="cellIs" dxfId="35" priority="6" operator="lessThan">
      <formula>0</formula>
    </cfRule>
    <cfRule type="cellIs" dxfId="34" priority="7" operator="greaterThan">
      <formula>0</formula>
    </cfRule>
    <cfRule type="cellIs" dxfId="33" priority="8" operator="equal">
      <formula>0</formula>
    </cfRule>
  </conditionalFormatting>
  <conditionalFormatting sqref="C18">
    <cfRule type="cellIs" dxfId="32" priority="9" operator="lessThan">
      <formula>0</formula>
    </cfRule>
    <cfRule type="cellIs" dxfId="31" priority="10" operator="greaterThan">
      <formula>0</formula>
    </cfRule>
    <cfRule type="cellIs" dxfId="30" priority="11" operator="equal">
      <formula>0</formula>
    </cfRule>
  </conditionalFormatting>
  <conditionalFormatting sqref="F16">
    <cfRule type="cellIs" dxfId="29" priority="1" operator="lessThan">
      <formula>0.1</formula>
    </cfRule>
    <cfRule type="cellIs" dxfId="28" priority="2" operator="greaterThan">
      <formula>0.18</formula>
    </cfRule>
  </conditionalFormatting>
  <dataValidations count="2">
    <dataValidation type="list" allowBlank="1" showInputMessage="1" showErrorMessage="1" sqref="F9" xr:uid="{00000000-0002-0000-0900-000000000000}">
      <formula1>$I$6:$I$7</formula1>
    </dataValidation>
    <dataValidation type="list" allowBlank="1" showInputMessage="1" showErrorMessage="1" sqref="F12" xr:uid="{00000000-0002-0000-0900-000001000000}">
      <formula1>$I$9:$I$10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08"/>
  <sheetViews>
    <sheetView topLeftCell="A2" zoomScale="86" workbookViewId="0">
      <selection activeCell="K11" sqref="K11:O11"/>
    </sheetView>
  </sheetViews>
  <sheetFormatPr defaultColWidth="9.140625" defaultRowHeight="15"/>
  <cols>
    <col min="1" max="2" width="9.140625" style="66"/>
    <col min="3" max="3" width="11" style="66" bestFit="1" customWidth="1"/>
    <col min="4" max="5" width="9.28515625" style="66" bestFit="1" customWidth="1"/>
    <col min="6" max="6" width="10.140625" style="66" bestFit="1" customWidth="1"/>
    <col min="7" max="7" width="9.28515625" style="66" bestFit="1" customWidth="1"/>
    <col min="8" max="8" width="11" style="66" bestFit="1" customWidth="1"/>
    <col min="9" max="9" width="9.7109375" style="66" bestFit="1" customWidth="1"/>
    <col min="10" max="12" width="9.28515625" style="66" bestFit="1" customWidth="1"/>
    <col min="13" max="13" width="11" style="66" bestFit="1" customWidth="1"/>
    <col min="14" max="14" width="10.28515625" style="66" bestFit="1" customWidth="1"/>
    <col min="15" max="16384" width="9.140625" style="66"/>
  </cols>
  <sheetData>
    <row r="1" spans="1:18" ht="18.75">
      <c r="A1" s="99" t="s">
        <v>65</v>
      </c>
      <c r="F1" s="100"/>
    </row>
    <row r="2" spans="1:18" ht="18.75">
      <c r="A2" s="99" t="s">
        <v>66</v>
      </c>
      <c r="F2" s="101" t="s">
        <v>67</v>
      </c>
    </row>
    <row r="5" spans="1:18">
      <c r="A5" s="102" t="s">
        <v>68</v>
      </c>
      <c r="F5" s="103">
        <f>'Калькулятор 12-48 мес'!K11</f>
        <v>1000</v>
      </c>
      <c r="H5" s="102"/>
      <c r="I5" s="102"/>
      <c r="J5" s="102"/>
      <c r="K5" s="102" t="s">
        <v>69</v>
      </c>
    </row>
    <row r="6" spans="1:18">
      <c r="A6" s="102" t="s">
        <v>70</v>
      </c>
      <c r="F6" s="104">
        <f>'Калькулятор 12-48 мес'!K14</f>
        <v>0</v>
      </c>
      <c r="G6" s="103">
        <f>F5*F6</f>
        <v>0</v>
      </c>
      <c r="I6" s="66" t="s">
        <v>71</v>
      </c>
      <c r="K6" s="105">
        <v>44927</v>
      </c>
      <c r="O6" s="102" t="s">
        <v>72</v>
      </c>
      <c r="P6" s="102"/>
      <c r="Q6" s="102" t="s">
        <v>73</v>
      </c>
      <c r="R6" s="102" t="s">
        <v>74</v>
      </c>
    </row>
    <row r="7" spans="1:18">
      <c r="A7" s="102" t="s">
        <v>75</v>
      </c>
      <c r="F7" s="103">
        <v>48</v>
      </c>
      <c r="I7" s="66" t="s">
        <v>76</v>
      </c>
      <c r="O7" s="66">
        <v>1</v>
      </c>
      <c r="P7" s="66" t="s">
        <v>77</v>
      </c>
      <c r="Q7" s="106">
        <v>2.0199999999999999E-2</v>
      </c>
      <c r="R7" s="106">
        <f>2.02%*1.22</f>
        <v>2.4643999999999999E-2</v>
      </c>
    </row>
    <row r="8" spans="1:18">
      <c r="A8" s="102" t="s">
        <v>78</v>
      </c>
      <c r="F8" s="107">
        <v>0</v>
      </c>
      <c r="L8" s="66" t="s">
        <v>79</v>
      </c>
      <c r="M8" s="66" t="s">
        <v>80</v>
      </c>
      <c r="O8" s="66">
        <v>2</v>
      </c>
      <c r="P8" s="66" t="s">
        <v>81</v>
      </c>
      <c r="Q8" s="107">
        <f>2.07%*0.8</f>
        <v>1.6560000000000002E-2</v>
      </c>
      <c r="R8" s="107">
        <f>2.07%*0.8*1.22</f>
        <v>2.0203200000000001E-2</v>
      </c>
    </row>
    <row r="9" spans="1:18">
      <c r="A9" s="102" t="s">
        <v>82</v>
      </c>
      <c r="F9" s="103" t="s">
        <v>76</v>
      </c>
      <c r="I9" s="66" t="s">
        <v>83</v>
      </c>
      <c r="K9" s="66" t="s">
        <v>84</v>
      </c>
      <c r="L9" s="107"/>
      <c r="M9" s="103">
        <v>12</v>
      </c>
      <c r="O9" s="66">
        <v>3</v>
      </c>
      <c r="P9" s="66" t="s">
        <v>85</v>
      </c>
      <c r="Q9" s="107">
        <f>2.33%*0.7</f>
        <v>1.6310000000000002E-2</v>
      </c>
      <c r="R9" s="107">
        <f>2.33%*0.7*1.22</f>
        <v>1.9898200000000001E-2</v>
      </c>
    </row>
    <row r="10" spans="1:18">
      <c r="A10" s="102" t="s">
        <v>86</v>
      </c>
      <c r="F10" s="108">
        <v>1</v>
      </c>
      <c r="I10" s="66" t="s">
        <v>87</v>
      </c>
      <c r="K10" s="66" t="s">
        <v>88</v>
      </c>
      <c r="L10" s="107">
        <v>0</v>
      </c>
      <c r="M10" s="103">
        <v>0</v>
      </c>
      <c r="O10" s="66">
        <v>4</v>
      </c>
      <c r="P10" s="66" t="s">
        <v>89</v>
      </c>
      <c r="Q10" s="107">
        <f>2.76%*0.6</f>
        <v>1.6559999999999998E-2</v>
      </c>
      <c r="R10" s="107">
        <f>2.76%*0.6*1.22</f>
        <v>2.0203199999999998E-2</v>
      </c>
    </row>
    <row r="11" spans="1:18">
      <c r="A11" s="102"/>
      <c r="F11" s="108">
        <v>1</v>
      </c>
      <c r="L11" s="107"/>
      <c r="M11" s="103"/>
      <c r="Q11" s="107"/>
    </row>
    <row r="12" spans="1:18">
      <c r="A12" s="102"/>
      <c r="F12" s="108">
        <v>1</v>
      </c>
      <c r="L12" s="107"/>
      <c r="M12" s="103"/>
      <c r="Q12" s="107"/>
    </row>
    <row r="13" spans="1:18">
      <c r="A13" s="102" t="s">
        <v>90</v>
      </c>
      <c r="F13" s="103" t="s">
        <v>87</v>
      </c>
      <c r="O13" s="66">
        <v>5</v>
      </c>
      <c r="P13" s="66" t="s">
        <v>91</v>
      </c>
      <c r="Q13" s="107">
        <f>3.03%*0.5</f>
        <v>1.5149999999999999E-2</v>
      </c>
      <c r="R13" s="107">
        <f>3.03%*0.5*1.22</f>
        <v>1.8482999999999999E-2</v>
      </c>
    </row>
    <row r="14" spans="1:18">
      <c r="A14" s="102" t="s">
        <v>92</v>
      </c>
      <c r="F14" s="107">
        <v>0</v>
      </c>
      <c r="G14" s="107"/>
      <c r="I14" s="66" t="s">
        <v>93</v>
      </c>
      <c r="K14" s="102" t="s">
        <v>94</v>
      </c>
      <c r="O14" s="66">
        <v>6</v>
      </c>
      <c r="P14" s="66" t="s">
        <v>95</v>
      </c>
      <c r="Q14" s="106">
        <f>Q13</f>
        <v>1.5149999999999999E-2</v>
      </c>
      <c r="R14" s="106">
        <f>Q14</f>
        <v>1.5149999999999999E-2</v>
      </c>
    </row>
    <row r="15" spans="1:18">
      <c r="A15" s="102" t="s">
        <v>96</v>
      </c>
      <c r="F15" s="109">
        <v>0.49</v>
      </c>
      <c r="G15" s="107"/>
      <c r="I15" s="66" t="s">
        <v>2</v>
      </c>
      <c r="K15" s="107">
        <v>0</v>
      </c>
      <c r="O15" s="66">
        <v>7</v>
      </c>
      <c r="P15" s="66" t="s">
        <v>97</v>
      </c>
      <c r="Q15" s="106">
        <f>Q14</f>
        <v>1.5149999999999999E-2</v>
      </c>
      <c r="R15" s="106">
        <f>R14</f>
        <v>1.5149999999999999E-2</v>
      </c>
    </row>
    <row r="16" spans="1:18">
      <c r="A16" s="102" t="s">
        <v>98</v>
      </c>
      <c r="F16" s="107">
        <v>0</v>
      </c>
      <c r="G16" s="107"/>
    </row>
    <row r="17" spans="1:19">
      <c r="A17" s="102" t="s">
        <v>99</v>
      </c>
      <c r="F17" s="107">
        <f>XIRR(M21:M105,B21:B105)</f>
        <v>0.61585600972175603</v>
      </c>
    </row>
    <row r="18" spans="1:19">
      <c r="O18" s="106"/>
      <c r="P18" s="106"/>
      <c r="R18" s="66" t="str">
        <f>'Калькулятор 12-48 мес'!K12</f>
        <v>ФЛ</v>
      </c>
      <c r="S18" s="66" t="s">
        <v>100</v>
      </c>
    </row>
    <row r="19" spans="1:19">
      <c r="A19" s="110">
        <f>LARGE(A21:A1048576,1)</f>
        <v>84</v>
      </c>
      <c r="B19" s="110">
        <f>IF(A19&lt;F7,"протяните формулы",0)</f>
        <v>0</v>
      </c>
      <c r="C19" s="110">
        <f>SUM(C21:C105)</f>
        <v>0</v>
      </c>
      <c r="D19" s="110">
        <f t="shared" ref="D19:M19" si="0">SUM(D21:D105)</f>
        <v>1000.4166666666661</v>
      </c>
      <c r="E19" s="110">
        <f t="shared" si="0"/>
        <v>0</v>
      </c>
      <c r="F19" s="110">
        <f t="shared" si="0"/>
        <v>0</v>
      </c>
      <c r="G19" s="110">
        <f t="shared" si="0"/>
        <v>0</v>
      </c>
      <c r="H19" s="110">
        <f t="shared" si="0"/>
        <v>1000.416666666665</v>
      </c>
      <c r="I19" s="111"/>
      <c r="J19" s="110">
        <f t="shared" si="0"/>
        <v>0</v>
      </c>
      <c r="K19" s="110">
        <f t="shared" si="0"/>
        <v>0</v>
      </c>
      <c r="L19" s="110">
        <f t="shared" si="0"/>
        <v>0</v>
      </c>
      <c r="M19" s="110">
        <f t="shared" si="0"/>
        <v>1000.416666666665</v>
      </c>
      <c r="O19" s="112"/>
      <c r="P19" s="112"/>
    </row>
    <row r="20" spans="1:19" ht="76.5">
      <c r="A20" s="113" t="s">
        <v>101</v>
      </c>
      <c r="B20" s="113" t="s">
        <v>102</v>
      </c>
      <c r="C20" s="113" t="s">
        <v>103</v>
      </c>
      <c r="D20" s="113" t="s">
        <v>104</v>
      </c>
      <c r="E20" s="113" t="s">
        <v>105</v>
      </c>
      <c r="F20" s="113" t="s">
        <v>106</v>
      </c>
      <c r="G20" s="113" t="s">
        <v>107</v>
      </c>
      <c r="H20" s="113" t="s">
        <v>108</v>
      </c>
      <c r="I20" s="85" t="s">
        <v>109</v>
      </c>
      <c r="J20" s="113" t="s">
        <v>84</v>
      </c>
      <c r="K20" s="113" t="s">
        <v>110</v>
      </c>
      <c r="L20" s="113" t="s">
        <v>111</v>
      </c>
      <c r="M20" s="113" t="s">
        <v>112</v>
      </c>
      <c r="N20" s="113" t="s">
        <v>113</v>
      </c>
      <c r="O20" s="106"/>
      <c r="P20" s="106"/>
      <c r="Q20" s="114"/>
      <c r="R20" s="114"/>
      <c r="S20" s="114"/>
    </row>
    <row r="21" spans="1:19">
      <c r="A21" s="115">
        <v>0</v>
      </c>
      <c r="B21" s="115" t="s">
        <v>114</v>
      </c>
      <c r="C21" s="111">
        <f>IF(F6&gt;=40%,-(F5*60%),-(F5*(1-F6)))</f>
        <v>-1000</v>
      </c>
      <c r="D21" s="111"/>
      <c r="E21" s="111"/>
      <c r="F21" s="111"/>
      <c r="G21" s="111"/>
      <c r="H21" s="111">
        <f>SUM(C21:G21)</f>
        <v>-1000</v>
      </c>
      <c r="I21" s="111">
        <f>C21*20/120</f>
        <v>-166.66666666666666</v>
      </c>
      <c r="J21" s="111">
        <f>-F5*L9</f>
        <v>0</v>
      </c>
      <c r="K21" s="111">
        <f>-F5*L10</f>
        <v>0</v>
      </c>
      <c r="L21" s="111">
        <f>F5*F8</f>
        <v>0</v>
      </c>
      <c r="M21" s="116">
        <f>SUM(C21,D21,G21,J21,K21,L21)</f>
        <v>-1000</v>
      </c>
      <c r="N21" s="111">
        <f>-C21</f>
        <v>1000</v>
      </c>
      <c r="O21" s="106"/>
      <c r="P21" s="106"/>
    </row>
    <row r="22" spans="1:19">
      <c r="A22" s="110">
        <f>A21+1</f>
        <v>1</v>
      </c>
      <c r="B22" s="105">
        <f>EOMONTH(B21,0)+DAY(B21)</f>
        <v>43409</v>
      </c>
      <c r="C22" s="111">
        <f>IF(A22&lt;=$F$7,(IF($F$6&lt;=40%,IF($F$9=$I$6,(-$C$21-$F$5*$K$15)/$F$7+IF(A22=$F$7,$F$5*$K$15,0),MINA(((N21-$F$5*$K$15)/($F$7-A22+1)*$F$10),(N21-$F$5*$K$15))+IF(A22=$F$7,$F$5*$K$15,0)),IF(A22=1,F5*(F6-40%),IF($F$9=$I$6,(-$C$21-$F$5*$K$15)/$F$7+IF(A22=$F$7,$F$5*$K$15,0),MINA(((N21-$F$5*$K$15)/($F$7-A22+1)*$F$10),(N21-$F$5*$K$15))+IF(A22=$F$7,$F$5*$K$15,0))))),0)</f>
        <v>20.833333333333332</v>
      </c>
      <c r="D22" s="111">
        <f t="shared" ref="D22:D85" si="1">IF(A22&lt;=$F$7,IF($F$13=$I$9,$F$5*$F$14,N21*$F$15/12),0)+-IF(AND(A22&lt;=$M$9,$M$9&lt;&gt;0),$J$21/$M$9,0)+-IF(AND(A22&lt;=$M$10,$M$10&lt;&gt;0),$K$21/$M$10,0)</f>
        <v>40.833333333333336</v>
      </c>
      <c r="E22" s="111">
        <f>IF($R$18="ЮЛ",D22*0.2,0)</f>
        <v>0</v>
      </c>
      <c r="F22" s="111">
        <f>IF(AND(A22&lt;=$F$7,$S$18="ДА"),($F$5*VLOOKUP(ROUNDUP(A22/12,0),$O$7:$Q$15,3,0)/12),0)</f>
        <v>0</v>
      </c>
      <c r="G22" s="111">
        <v>0</v>
      </c>
      <c r="H22" s="111">
        <f>SUM(C22:G22)+SUM(C22:G22)*$F$16</f>
        <v>61.666666666666671</v>
      </c>
      <c r="I22" s="111">
        <f t="shared" ref="I22:I85" si="2">C22*20/120</f>
        <v>3.4722222222222219</v>
      </c>
      <c r="J22" s="111"/>
      <c r="K22" s="111"/>
      <c r="L22" s="111"/>
      <c r="M22" s="116">
        <f t="shared" ref="M22:M85" si="3">SUM(C22,D22,G22,J22,K22,L22)</f>
        <v>61.666666666666671</v>
      </c>
      <c r="N22" s="111">
        <f t="shared" ref="N22:N85" si="4">N21-C22</f>
        <v>979.16666666666663</v>
      </c>
      <c r="O22" s="106"/>
      <c r="P22" s="106"/>
    </row>
    <row r="23" spans="1:19">
      <c r="A23" s="110">
        <v>2</v>
      </c>
      <c r="B23" s="105">
        <f t="shared" ref="B23:B86" si="5">EOMONTH(B22,0)+DAY(B22)</f>
        <v>43439</v>
      </c>
      <c r="C23" s="111">
        <f>IF(A23&lt;=$F$7,(IF($F$6&lt;=40%,IF($F$9=$I$6,(-$C$21-$F$5*$K$15)/$F$7+IF(A23=$F$7,$F$5*$K$15,0),MINA(((N22-$F$5*$K$15)/($F$7-A23+1)*$F$10),(N22-$F$5*$K$15))+IF(A23=$F$7,$F$5*$K$15,0)),IF(A23=1,F6*(F7-40%),IF($F$9=$I$6,(-$C$21-$F$5*$K$15)/$F$7+IF(A23=$F$7,$F$5*$K$15,0),MINA(((N22-$F$5*$K$15)/($F$7-A23+1)*$F$10),(N22-$F$5*$K$15))+IF(A23=$F$7,$F$5*$K$15,0))))),0)</f>
        <v>20.833333333333332</v>
      </c>
      <c r="D23" s="111">
        <f t="shared" si="1"/>
        <v>39.982638888888886</v>
      </c>
      <c r="E23" s="111">
        <f t="shared" ref="E23:E86" si="6">IF($R$18="ЮЛ",D23*0.2,0)</f>
        <v>0</v>
      </c>
      <c r="F23" s="111">
        <f t="shared" ref="F23:F82" si="7">IF(AND(A23&lt;=$F$7,$S$18="ДА"),($F$5*VLOOKUP(ROUNDUP(A23/12,0),$O$7:$Q$15,3,0)/12),0)</f>
        <v>0</v>
      </c>
      <c r="G23" s="111">
        <v>0</v>
      </c>
      <c r="H23" s="111">
        <f t="shared" ref="H23:H86" si="8">SUM(C23:G23)+SUM(C23:G23)*$F$16</f>
        <v>60.815972222222214</v>
      </c>
      <c r="I23" s="111">
        <f t="shared" si="2"/>
        <v>3.4722222222222219</v>
      </c>
      <c r="J23" s="111"/>
      <c r="K23" s="111"/>
      <c r="L23" s="111"/>
      <c r="M23" s="116">
        <f t="shared" si="3"/>
        <v>60.815972222222214</v>
      </c>
      <c r="N23" s="111">
        <f t="shared" si="4"/>
        <v>958.33333333333326</v>
      </c>
      <c r="O23" s="106"/>
      <c r="P23" s="106"/>
    </row>
    <row r="24" spans="1:19">
      <c r="A24" s="110">
        <v>3</v>
      </c>
      <c r="B24" s="105">
        <f t="shared" si="5"/>
        <v>43470</v>
      </c>
      <c r="C24" s="111">
        <f>IF(A24&lt;=$F$7,(IF($F$6&lt;=40%,IF($F$9=$I$6,(-$C$21-$F$5*$K$15)/$F$7+IF(A24=$F$7,$F$5*$K$15,0),MINA(((N23-$F$5*$K$15)/($F$7-A24+1)*$F$10),(N23-$F$5*$K$15))+IF(A24=$F$7,$F$5*$K$15,0)),IF(A24=1,F7*(F8-40%),IF($F$9=$I$6,(-$C$21-$F$5*$K$15)/$F$7+IF(A24=$F$7,$F$5*$K$15,0),MINA(((N23-$F$5*$K$15)/($F$7-A24+1)*$F$10),(N23-$F$5*$K$15))+IF(A24=$F$7,$F$5*$K$15,0))))),0)</f>
        <v>20.833333333333332</v>
      </c>
      <c r="D24" s="111">
        <f t="shared" si="1"/>
        <v>39.131944444444443</v>
      </c>
      <c r="E24" s="111">
        <f t="shared" si="6"/>
        <v>0</v>
      </c>
      <c r="F24" s="111">
        <f t="shared" si="7"/>
        <v>0</v>
      </c>
      <c r="G24" s="111">
        <v>0</v>
      </c>
      <c r="H24" s="111">
        <f t="shared" si="8"/>
        <v>59.965277777777771</v>
      </c>
      <c r="I24" s="111">
        <f t="shared" si="2"/>
        <v>3.4722222222222219</v>
      </c>
      <c r="J24" s="111"/>
      <c r="K24" s="111"/>
      <c r="L24" s="111"/>
      <c r="M24" s="116">
        <f t="shared" si="3"/>
        <v>59.965277777777771</v>
      </c>
      <c r="N24" s="111">
        <f t="shared" si="4"/>
        <v>937.49999999999989</v>
      </c>
      <c r="O24" s="106"/>
      <c r="P24" s="106"/>
    </row>
    <row r="25" spans="1:19">
      <c r="A25" s="110">
        <v>4</v>
      </c>
      <c r="B25" s="105">
        <f t="shared" si="5"/>
        <v>43501</v>
      </c>
      <c r="C25" s="111">
        <f>IF(A25&lt;=$F$7,(IF($F$6&lt;=40%,IF($F$9=$I$6,(-$C$21-$F$5*$K$15)/$F$7+IF(A25=$F$7,$F$5*$K$15,0),MINA(((N24-$F$5*$K$15)/($F$7-A25+1)*$F$10),(N24-$F$5*$K$15))+IF(A25=$F$7,$F$5*$K$15,0)),IF(A25=1,F8*(F9-40%),IF($F$9=$I$6,(-$C$21-$F$5*$K$15)/$F$7+IF(A25=$F$7,$F$5*$K$15,0),MINA(((N24-$F$5*$K$15)/($F$7-A25+1)*$F$10),(N24-$F$5*$K$15))+IF(A25=$F$7,$F$5*$K$15,0))))),0)</f>
        <v>20.833333333333332</v>
      </c>
      <c r="D25" s="111">
        <f t="shared" si="1"/>
        <v>38.281249999999993</v>
      </c>
      <c r="E25" s="111">
        <f t="shared" si="6"/>
        <v>0</v>
      </c>
      <c r="F25" s="111">
        <f t="shared" si="7"/>
        <v>0</v>
      </c>
      <c r="G25" s="111">
        <v>0</v>
      </c>
      <c r="H25" s="111">
        <f t="shared" si="8"/>
        <v>59.114583333333329</v>
      </c>
      <c r="I25" s="111">
        <f t="shared" si="2"/>
        <v>3.4722222222222219</v>
      </c>
      <c r="J25" s="111"/>
      <c r="K25" s="111"/>
      <c r="L25" s="111"/>
      <c r="M25" s="116">
        <f t="shared" si="3"/>
        <v>59.114583333333329</v>
      </c>
      <c r="N25" s="111">
        <f t="shared" si="4"/>
        <v>916.66666666666652</v>
      </c>
      <c r="O25" s="106"/>
      <c r="P25" s="106"/>
    </row>
    <row r="26" spans="1:19">
      <c r="A26" s="110">
        <v>5</v>
      </c>
      <c r="B26" s="105">
        <f t="shared" si="5"/>
        <v>43529</v>
      </c>
      <c r="C26" s="111">
        <f>IF(A26&lt;=$F$7,(IF($F$6&lt;=40%,IF($F$9=$I$6,(-$C$21-$F$5*$K$15)/$F$7+IF(A26=$F$7,$F$5*$K$15,0),MINA(((N25-$F$5*$K$15)/($F$7-A26+1)*$F$10),(N25-$F$5*$K$15))+IF(A26=$F$7,$F$5*$K$15,0)),IF(A26=1,F9*(F10-40%),IF($F$9=$I$6,(-$C$21-$F$5*$K$15)/$F$7+IF(A26=$F$7,$F$5*$K$15,0),MINA(((N25-$F$5*$K$15)/($F$7-A26+1)*$F$10),(N25-$F$5*$K$15))+IF(A26=$F$7,$F$5*$K$15,0))))),0)</f>
        <v>20.833333333333329</v>
      </c>
      <c r="D26" s="111">
        <f t="shared" si="1"/>
        <v>37.43055555555555</v>
      </c>
      <c r="E26" s="111">
        <f t="shared" si="6"/>
        <v>0</v>
      </c>
      <c r="F26" s="111">
        <f t="shared" si="7"/>
        <v>0</v>
      </c>
      <c r="G26" s="111">
        <v>0</v>
      </c>
      <c r="H26" s="111">
        <f t="shared" si="8"/>
        <v>58.263888888888879</v>
      </c>
      <c r="I26" s="111">
        <f t="shared" si="2"/>
        <v>3.4722222222222214</v>
      </c>
      <c r="J26" s="111"/>
      <c r="K26" s="111"/>
      <c r="L26" s="111"/>
      <c r="M26" s="116">
        <f t="shared" si="3"/>
        <v>58.263888888888879</v>
      </c>
      <c r="N26" s="111">
        <f t="shared" si="4"/>
        <v>895.83333333333314</v>
      </c>
    </row>
    <row r="27" spans="1:19">
      <c r="A27" s="110">
        <v>6</v>
      </c>
      <c r="B27" s="105">
        <f t="shared" si="5"/>
        <v>43560</v>
      </c>
      <c r="C27" s="111">
        <f>IF(A27&lt;=$F$7,(IF($F$6&lt;=40%,IF($F$9=$I$6,(-$C$21-$F$5*$K$15)/$F$7+IF(A27=$F$7,$F$5*$K$15,0),MINA(((N26-$F$5*$K$15)/($F$7-A27+1)*$F$10),(N26-$F$5*$K$15))+IF(A27=$F$7,$F$5*$K$15,0)),IF(A27=1,F10*(F13-40%),IF($F$9=$I$6,(-$C$21-$F$5*$K$15)/$F$7+IF(A27=$F$7,$F$5*$K$15,0),MINA(((N26-$F$5*$K$15)/($F$7-A27+1)*$F$10),(N26-$F$5*$K$15))+IF(A27=$F$7,$F$5*$K$15,0))))),0)</f>
        <v>20.833333333333329</v>
      </c>
      <c r="D27" s="111">
        <f t="shared" si="1"/>
        <v>36.579861111111107</v>
      </c>
      <c r="E27" s="111">
        <f t="shared" si="6"/>
        <v>0</v>
      </c>
      <c r="F27" s="111">
        <f t="shared" si="7"/>
        <v>0</v>
      </c>
      <c r="G27" s="111">
        <v>0</v>
      </c>
      <c r="H27" s="111">
        <f t="shared" si="8"/>
        <v>57.413194444444436</v>
      </c>
      <c r="I27" s="111">
        <f t="shared" si="2"/>
        <v>3.4722222222222214</v>
      </c>
      <c r="J27" s="111"/>
      <c r="K27" s="111"/>
      <c r="L27" s="111"/>
      <c r="M27" s="116">
        <f t="shared" si="3"/>
        <v>57.413194444444436</v>
      </c>
      <c r="N27" s="111">
        <f t="shared" si="4"/>
        <v>874.99999999999977</v>
      </c>
    </row>
    <row r="28" spans="1:19">
      <c r="A28" s="110">
        <v>7</v>
      </c>
      <c r="B28" s="105">
        <f t="shared" si="5"/>
        <v>43590</v>
      </c>
      <c r="C28" s="111">
        <f t="shared" ref="C28:C33" si="9">IF(A28&lt;=$F$7,(IF($F$6&lt;=40%,IF($F$9=$I$6,(-$C$21-$F$5*$K$15)/$F$7+IF(A28=$F$7,$F$5*$K$15,0),MINA(((N27-$F$5*$K$15)/($F$7-A28+1)*$F$10),(N27-$F$5*$K$15))+IF(A28=$F$7,$F$5*$K$15,0)),IF(A28=1,F13*(F14-40%),IF($F$9=$I$6,(-$C$21-$F$5*$K$15)/$F$7+IF(A28=$F$7,$F$5*$K$15,0),MINA(((N27-$F$5*$K$15)/($F$7-A28+1)*$F$10),(N27-$F$5*$K$15))+IF(A28=$F$7,$F$5*$K$15,0))))),0)</f>
        <v>20.833333333333329</v>
      </c>
      <c r="D28" s="111">
        <f t="shared" si="1"/>
        <v>35.729166666666657</v>
      </c>
      <c r="E28" s="111">
        <f t="shared" si="6"/>
        <v>0</v>
      </c>
      <c r="F28" s="111">
        <f t="shared" si="7"/>
        <v>0</v>
      </c>
      <c r="G28" s="111">
        <v>0</v>
      </c>
      <c r="H28" s="111">
        <f t="shared" si="8"/>
        <v>56.562499999999986</v>
      </c>
      <c r="I28" s="111">
        <f t="shared" si="2"/>
        <v>3.4722222222222214</v>
      </c>
      <c r="J28" s="111"/>
      <c r="K28" s="111"/>
      <c r="L28" s="111"/>
      <c r="M28" s="116">
        <f t="shared" si="3"/>
        <v>56.562499999999986</v>
      </c>
      <c r="N28" s="111">
        <f t="shared" si="4"/>
        <v>854.1666666666664</v>
      </c>
    </row>
    <row r="29" spans="1:19">
      <c r="A29" s="110">
        <v>8</v>
      </c>
      <c r="B29" s="105">
        <f t="shared" si="5"/>
        <v>43621</v>
      </c>
      <c r="C29" s="111">
        <f t="shared" si="9"/>
        <v>20.833333333333329</v>
      </c>
      <c r="D29" s="111">
        <f t="shared" si="1"/>
        <v>34.878472222222207</v>
      </c>
      <c r="E29" s="111">
        <f t="shared" si="6"/>
        <v>0</v>
      </c>
      <c r="F29" s="111">
        <f t="shared" si="7"/>
        <v>0</v>
      </c>
      <c r="G29" s="111">
        <v>0</v>
      </c>
      <c r="H29" s="111">
        <f t="shared" si="8"/>
        <v>55.711805555555536</v>
      </c>
      <c r="I29" s="111">
        <f t="shared" si="2"/>
        <v>3.4722222222222214</v>
      </c>
      <c r="J29" s="111"/>
      <c r="K29" s="111"/>
      <c r="L29" s="111"/>
      <c r="M29" s="116">
        <f t="shared" si="3"/>
        <v>55.711805555555536</v>
      </c>
      <c r="N29" s="111">
        <f t="shared" si="4"/>
        <v>833.33333333333303</v>
      </c>
    </row>
    <row r="30" spans="1:19">
      <c r="A30" s="110">
        <v>9</v>
      </c>
      <c r="B30" s="105">
        <f t="shared" si="5"/>
        <v>43651</v>
      </c>
      <c r="C30" s="111">
        <f t="shared" si="9"/>
        <v>20.833333333333325</v>
      </c>
      <c r="D30" s="111">
        <f t="shared" si="1"/>
        <v>34.027777777777764</v>
      </c>
      <c r="E30" s="111">
        <f t="shared" si="6"/>
        <v>0</v>
      </c>
      <c r="F30" s="111">
        <f t="shared" si="7"/>
        <v>0</v>
      </c>
      <c r="G30" s="111">
        <v>0</v>
      </c>
      <c r="H30" s="111">
        <f t="shared" si="8"/>
        <v>54.861111111111086</v>
      </c>
      <c r="I30" s="111">
        <f t="shared" si="2"/>
        <v>3.472222222222221</v>
      </c>
      <c r="J30" s="111"/>
      <c r="K30" s="111"/>
      <c r="L30" s="111"/>
      <c r="M30" s="116">
        <f t="shared" si="3"/>
        <v>54.861111111111086</v>
      </c>
      <c r="N30" s="111">
        <f t="shared" si="4"/>
        <v>812.49999999999966</v>
      </c>
    </row>
    <row r="31" spans="1:19">
      <c r="A31" s="110">
        <v>10</v>
      </c>
      <c r="B31" s="105">
        <f t="shared" si="5"/>
        <v>43682</v>
      </c>
      <c r="C31" s="111">
        <f t="shared" si="9"/>
        <v>20.833333333333325</v>
      </c>
      <c r="D31" s="111">
        <f t="shared" si="1"/>
        <v>33.177083333333321</v>
      </c>
      <c r="E31" s="111">
        <f t="shared" si="6"/>
        <v>0</v>
      </c>
      <c r="F31" s="111">
        <f t="shared" si="7"/>
        <v>0</v>
      </c>
      <c r="G31" s="111">
        <v>0</v>
      </c>
      <c r="H31" s="111">
        <f t="shared" si="8"/>
        <v>54.010416666666643</v>
      </c>
      <c r="I31" s="111">
        <f t="shared" si="2"/>
        <v>3.472222222222221</v>
      </c>
      <c r="J31" s="111"/>
      <c r="K31" s="111"/>
      <c r="L31" s="111"/>
      <c r="M31" s="116">
        <f t="shared" si="3"/>
        <v>54.010416666666643</v>
      </c>
      <c r="N31" s="111">
        <f t="shared" si="4"/>
        <v>791.66666666666629</v>
      </c>
    </row>
    <row r="32" spans="1:19">
      <c r="A32" s="110">
        <v>11</v>
      </c>
      <c r="B32" s="105">
        <f t="shared" si="5"/>
        <v>43713</v>
      </c>
      <c r="C32" s="111">
        <f t="shared" si="9"/>
        <v>20.833333333333325</v>
      </c>
      <c r="D32" s="111">
        <f t="shared" si="1"/>
        <v>32.326388888888872</v>
      </c>
      <c r="E32" s="111">
        <f t="shared" si="6"/>
        <v>0</v>
      </c>
      <c r="F32" s="111">
        <f t="shared" si="7"/>
        <v>0</v>
      </c>
      <c r="G32" s="111">
        <v>0</v>
      </c>
      <c r="H32" s="111">
        <f t="shared" si="8"/>
        <v>53.1597222222222</v>
      </c>
      <c r="I32" s="111">
        <f t="shared" si="2"/>
        <v>3.472222222222221</v>
      </c>
      <c r="J32" s="111"/>
      <c r="K32" s="111"/>
      <c r="L32" s="111"/>
      <c r="M32" s="116">
        <f t="shared" si="3"/>
        <v>53.1597222222222</v>
      </c>
      <c r="N32" s="111">
        <f t="shared" si="4"/>
        <v>770.83333333333292</v>
      </c>
    </row>
    <row r="33" spans="1:14">
      <c r="A33" s="110">
        <v>12</v>
      </c>
      <c r="B33" s="105">
        <f t="shared" si="5"/>
        <v>43743</v>
      </c>
      <c r="C33" s="111">
        <f t="shared" si="9"/>
        <v>20.833333333333321</v>
      </c>
      <c r="D33" s="111">
        <f t="shared" si="1"/>
        <v>31.475694444444429</v>
      </c>
      <c r="E33" s="111">
        <f t="shared" si="6"/>
        <v>0</v>
      </c>
      <c r="F33" s="111">
        <f t="shared" si="7"/>
        <v>0</v>
      </c>
      <c r="G33" s="111">
        <v>0</v>
      </c>
      <c r="H33" s="111">
        <f t="shared" si="8"/>
        <v>52.30902777777775</v>
      </c>
      <c r="I33" s="111">
        <f t="shared" si="2"/>
        <v>3.4722222222222201</v>
      </c>
      <c r="J33" s="111"/>
      <c r="K33" s="111"/>
      <c r="L33" s="111"/>
      <c r="M33" s="116">
        <f t="shared" si="3"/>
        <v>52.30902777777775</v>
      </c>
      <c r="N33" s="111">
        <f t="shared" si="4"/>
        <v>749.99999999999955</v>
      </c>
    </row>
    <row r="34" spans="1:14">
      <c r="A34" s="110">
        <v>13</v>
      </c>
      <c r="B34" s="105">
        <f t="shared" si="5"/>
        <v>43774</v>
      </c>
      <c r="C34" s="111">
        <f t="shared" ref="C34:C45" si="10">IF(A34&lt;=$F$7,(IF($F$6&lt;=40%,IF($F$9=$I$6,(-$C$21-$F$5*$K$15)/$F$7+IF(A34=$F$7,$F$5*$K$15,0),MINA(((N33-$F$5*$K$15)/($F$7-A34+1)*$F$11),(N33-$F$5*$K$15))+IF(A34=$F$7,$F$5*$K$15,0)),IF(A34=1,F19*(F20-40%),IF($F$9=$I$6,(-$C$21-$F$5*$K$15)/$F$7+IF(A34=$F$7,$F$5*$K$15,0),MINA(((N33-$F$5*$K$15)/($F$7-A34+1)*$F$10),(N33-$F$5*$K$15))+IF(A34=$F$7,$F$5*$K$15,0))))),0)</f>
        <v>20.833333333333321</v>
      </c>
      <c r="D34" s="111">
        <f t="shared" si="1"/>
        <v>30.624999999999982</v>
      </c>
      <c r="E34" s="111">
        <f t="shared" si="6"/>
        <v>0</v>
      </c>
      <c r="F34" s="111">
        <f t="shared" si="7"/>
        <v>0</v>
      </c>
      <c r="G34" s="111">
        <v>0</v>
      </c>
      <c r="H34" s="111">
        <f t="shared" si="8"/>
        <v>51.4583333333333</v>
      </c>
      <c r="I34" s="111">
        <f t="shared" si="2"/>
        <v>3.4722222222222201</v>
      </c>
      <c r="J34" s="111"/>
      <c r="K34" s="111"/>
      <c r="L34" s="111"/>
      <c r="M34" s="116">
        <f t="shared" si="3"/>
        <v>51.4583333333333</v>
      </c>
      <c r="N34" s="111">
        <f t="shared" si="4"/>
        <v>729.16666666666617</v>
      </c>
    </row>
    <row r="35" spans="1:14">
      <c r="A35" s="110">
        <v>14</v>
      </c>
      <c r="B35" s="105">
        <f t="shared" si="5"/>
        <v>43804</v>
      </c>
      <c r="C35" s="111">
        <f t="shared" si="10"/>
        <v>20.833333333333318</v>
      </c>
      <c r="D35" s="111">
        <f t="shared" si="1"/>
        <v>29.774305555555532</v>
      </c>
      <c r="E35" s="111">
        <f t="shared" si="6"/>
        <v>0</v>
      </c>
      <c r="F35" s="111">
        <f t="shared" si="7"/>
        <v>0</v>
      </c>
      <c r="G35" s="111">
        <v>0</v>
      </c>
      <c r="H35" s="111">
        <f t="shared" si="8"/>
        <v>50.60763888888885</v>
      </c>
      <c r="I35" s="111">
        <f t="shared" si="2"/>
        <v>3.4722222222222197</v>
      </c>
      <c r="J35" s="111"/>
      <c r="K35" s="111"/>
      <c r="L35" s="111"/>
      <c r="M35" s="116">
        <f t="shared" si="3"/>
        <v>50.60763888888885</v>
      </c>
      <c r="N35" s="111">
        <f t="shared" si="4"/>
        <v>708.3333333333328</v>
      </c>
    </row>
    <row r="36" spans="1:14">
      <c r="A36" s="110">
        <v>15</v>
      </c>
      <c r="B36" s="105">
        <f t="shared" si="5"/>
        <v>43835</v>
      </c>
      <c r="C36" s="111">
        <f t="shared" si="10"/>
        <v>20.833333333333318</v>
      </c>
      <c r="D36" s="111">
        <f t="shared" si="1"/>
        <v>28.923611111111089</v>
      </c>
      <c r="E36" s="111">
        <f t="shared" si="6"/>
        <v>0</v>
      </c>
      <c r="F36" s="111">
        <f t="shared" si="7"/>
        <v>0</v>
      </c>
      <c r="G36" s="111">
        <v>0</v>
      </c>
      <c r="H36" s="111">
        <f t="shared" si="8"/>
        <v>49.756944444444407</v>
      </c>
      <c r="I36" s="111">
        <f t="shared" si="2"/>
        <v>3.4722222222222197</v>
      </c>
      <c r="J36" s="111"/>
      <c r="K36" s="111"/>
      <c r="L36" s="111"/>
      <c r="M36" s="116">
        <f t="shared" si="3"/>
        <v>49.756944444444407</v>
      </c>
      <c r="N36" s="111">
        <f t="shared" si="4"/>
        <v>687.49999999999943</v>
      </c>
    </row>
    <row r="37" spans="1:14">
      <c r="A37" s="110">
        <v>16</v>
      </c>
      <c r="B37" s="105">
        <f t="shared" si="5"/>
        <v>43866</v>
      </c>
      <c r="C37" s="111">
        <f t="shared" si="10"/>
        <v>20.833333333333314</v>
      </c>
      <c r="D37" s="111">
        <f t="shared" si="1"/>
        <v>28.072916666666643</v>
      </c>
      <c r="E37" s="111">
        <f t="shared" si="6"/>
        <v>0</v>
      </c>
      <c r="F37" s="111">
        <f t="shared" si="7"/>
        <v>0</v>
      </c>
      <c r="G37" s="111">
        <v>0</v>
      </c>
      <c r="H37" s="111">
        <f t="shared" si="8"/>
        <v>48.906249999999957</v>
      </c>
      <c r="I37" s="111">
        <f t="shared" si="2"/>
        <v>3.4722222222222192</v>
      </c>
      <c r="J37" s="111"/>
      <c r="K37" s="111"/>
      <c r="L37" s="111"/>
      <c r="M37" s="116">
        <f t="shared" si="3"/>
        <v>48.906249999999957</v>
      </c>
      <c r="N37" s="111">
        <f t="shared" si="4"/>
        <v>666.66666666666606</v>
      </c>
    </row>
    <row r="38" spans="1:14">
      <c r="A38" s="110">
        <v>17</v>
      </c>
      <c r="B38" s="105">
        <f t="shared" si="5"/>
        <v>43895</v>
      </c>
      <c r="C38" s="111">
        <f t="shared" si="10"/>
        <v>20.833333333333314</v>
      </c>
      <c r="D38" s="111">
        <f t="shared" si="1"/>
        <v>27.222222222222197</v>
      </c>
      <c r="E38" s="111">
        <f t="shared" si="6"/>
        <v>0</v>
      </c>
      <c r="F38" s="111">
        <f t="shared" si="7"/>
        <v>0</v>
      </c>
      <c r="G38" s="111">
        <v>0</v>
      </c>
      <c r="H38" s="111">
        <f t="shared" si="8"/>
        <v>48.055555555555515</v>
      </c>
      <c r="I38" s="111">
        <f t="shared" si="2"/>
        <v>3.4722222222222192</v>
      </c>
      <c r="J38" s="111"/>
      <c r="K38" s="111"/>
      <c r="L38" s="111"/>
      <c r="M38" s="116">
        <f t="shared" si="3"/>
        <v>48.055555555555515</v>
      </c>
      <c r="N38" s="111">
        <f t="shared" si="4"/>
        <v>645.8333333333328</v>
      </c>
    </row>
    <row r="39" spans="1:14">
      <c r="A39" s="110">
        <v>18</v>
      </c>
      <c r="B39" s="105">
        <f t="shared" si="5"/>
        <v>43926</v>
      </c>
      <c r="C39" s="111">
        <f t="shared" si="10"/>
        <v>20.833333333333318</v>
      </c>
      <c r="D39" s="111">
        <f t="shared" si="1"/>
        <v>26.371527777777757</v>
      </c>
      <c r="E39" s="111">
        <f t="shared" si="6"/>
        <v>0</v>
      </c>
      <c r="F39" s="111">
        <f t="shared" si="7"/>
        <v>0</v>
      </c>
      <c r="G39" s="111">
        <v>0</v>
      </c>
      <c r="H39" s="111">
        <f t="shared" si="8"/>
        <v>47.204861111111072</v>
      </c>
      <c r="I39" s="111">
        <f t="shared" si="2"/>
        <v>3.4722222222222197</v>
      </c>
      <c r="J39" s="111"/>
      <c r="K39" s="111"/>
      <c r="L39" s="111"/>
      <c r="M39" s="116">
        <f t="shared" si="3"/>
        <v>47.204861111111072</v>
      </c>
      <c r="N39" s="111">
        <f t="shared" si="4"/>
        <v>624.99999999999943</v>
      </c>
    </row>
    <row r="40" spans="1:14">
      <c r="A40" s="110">
        <v>19</v>
      </c>
      <c r="B40" s="105">
        <f t="shared" si="5"/>
        <v>43956</v>
      </c>
      <c r="C40" s="111">
        <f t="shared" si="10"/>
        <v>20.833333333333314</v>
      </c>
      <c r="D40" s="111">
        <f t="shared" si="1"/>
        <v>25.520833333333311</v>
      </c>
      <c r="E40" s="111">
        <f t="shared" si="6"/>
        <v>0</v>
      </c>
      <c r="F40" s="111">
        <f t="shared" si="7"/>
        <v>0</v>
      </c>
      <c r="G40" s="111">
        <v>0</v>
      </c>
      <c r="H40" s="111">
        <f t="shared" si="8"/>
        <v>46.354166666666629</v>
      </c>
      <c r="I40" s="111">
        <f t="shared" si="2"/>
        <v>3.4722222222222192</v>
      </c>
      <c r="J40" s="111"/>
      <c r="K40" s="111"/>
      <c r="L40" s="111"/>
      <c r="M40" s="116">
        <f t="shared" si="3"/>
        <v>46.354166666666629</v>
      </c>
      <c r="N40" s="111">
        <f t="shared" si="4"/>
        <v>604.16666666666606</v>
      </c>
    </row>
    <row r="41" spans="1:14">
      <c r="A41" s="110">
        <v>20</v>
      </c>
      <c r="B41" s="105">
        <f t="shared" si="5"/>
        <v>43987</v>
      </c>
      <c r="C41" s="111">
        <f t="shared" si="10"/>
        <v>20.833333333333311</v>
      </c>
      <c r="D41" s="111">
        <f t="shared" si="1"/>
        <v>24.670138888888861</v>
      </c>
      <c r="E41" s="111">
        <f t="shared" si="6"/>
        <v>0</v>
      </c>
      <c r="F41" s="111">
        <f t="shared" si="7"/>
        <v>0</v>
      </c>
      <c r="G41" s="111">
        <v>0</v>
      </c>
      <c r="H41" s="111">
        <f t="shared" si="8"/>
        <v>45.503472222222172</v>
      </c>
      <c r="I41" s="111">
        <f t="shared" si="2"/>
        <v>3.4722222222222188</v>
      </c>
      <c r="J41" s="111"/>
      <c r="K41" s="111"/>
      <c r="L41" s="111"/>
      <c r="M41" s="116">
        <f t="shared" si="3"/>
        <v>45.503472222222172</v>
      </c>
      <c r="N41" s="111">
        <f t="shared" si="4"/>
        <v>583.3333333333328</v>
      </c>
    </row>
    <row r="42" spans="1:14">
      <c r="A42" s="110">
        <v>21</v>
      </c>
      <c r="B42" s="105">
        <f t="shared" si="5"/>
        <v>44017</v>
      </c>
      <c r="C42" s="111">
        <f t="shared" si="10"/>
        <v>20.833333333333314</v>
      </c>
      <c r="D42" s="111">
        <f t="shared" si="1"/>
        <v>23.819444444444425</v>
      </c>
      <c r="E42" s="111">
        <f t="shared" si="6"/>
        <v>0</v>
      </c>
      <c r="F42" s="111">
        <f t="shared" si="7"/>
        <v>0</v>
      </c>
      <c r="G42" s="111">
        <v>0</v>
      </c>
      <c r="H42" s="111">
        <f t="shared" si="8"/>
        <v>44.652777777777743</v>
      </c>
      <c r="I42" s="111">
        <f t="shared" si="2"/>
        <v>3.4722222222222192</v>
      </c>
      <c r="J42" s="111"/>
      <c r="K42" s="111"/>
      <c r="L42" s="111"/>
      <c r="M42" s="116">
        <f t="shared" si="3"/>
        <v>44.652777777777743</v>
      </c>
      <c r="N42" s="111">
        <f t="shared" si="4"/>
        <v>562.49999999999955</v>
      </c>
    </row>
    <row r="43" spans="1:14">
      <c r="A43" s="110">
        <v>22</v>
      </c>
      <c r="B43" s="105">
        <f t="shared" si="5"/>
        <v>44048</v>
      </c>
      <c r="C43" s="111">
        <f t="shared" si="10"/>
        <v>20.833333333333318</v>
      </c>
      <c r="D43" s="111">
        <f t="shared" si="1"/>
        <v>22.968749999999982</v>
      </c>
      <c r="E43" s="111">
        <f t="shared" si="6"/>
        <v>0</v>
      </c>
      <c r="F43" s="111">
        <f t="shared" si="7"/>
        <v>0</v>
      </c>
      <c r="G43" s="111">
        <v>0</v>
      </c>
      <c r="H43" s="111">
        <f t="shared" si="8"/>
        <v>43.8020833333333</v>
      </c>
      <c r="I43" s="111">
        <f t="shared" si="2"/>
        <v>3.4722222222222197</v>
      </c>
      <c r="J43" s="111"/>
      <c r="K43" s="111"/>
      <c r="L43" s="111"/>
      <c r="M43" s="116">
        <f t="shared" si="3"/>
        <v>43.8020833333333</v>
      </c>
      <c r="N43" s="111">
        <f t="shared" si="4"/>
        <v>541.66666666666617</v>
      </c>
    </row>
    <row r="44" spans="1:14">
      <c r="A44" s="110">
        <v>23</v>
      </c>
      <c r="B44" s="105">
        <f t="shared" si="5"/>
        <v>44079</v>
      </c>
      <c r="C44" s="111">
        <f t="shared" si="10"/>
        <v>20.833333333333314</v>
      </c>
      <c r="D44" s="111">
        <f t="shared" si="1"/>
        <v>22.118055555555532</v>
      </c>
      <c r="E44" s="111">
        <f t="shared" si="6"/>
        <v>0</v>
      </c>
      <c r="F44" s="111">
        <f t="shared" si="7"/>
        <v>0</v>
      </c>
      <c r="G44" s="111">
        <v>0</v>
      </c>
      <c r="H44" s="111">
        <f t="shared" si="8"/>
        <v>42.951388888888843</v>
      </c>
      <c r="I44" s="111">
        <f t="shared" si="2"/>
        <v>3.4722222222222192</v>
      </c>
      <c r="J44" s="111"/>
      <c r="K44" s="111"/>
      <c r="L44" s="111"/>
      <c r="M44" s="116">
        <f t="shared" si="3"/>
        <v>42.951388888888843</v>
      </c>
      <c r="N44" s="111">
        <f t="shared" si="4"/>
        <v>520.8333333333328</v>
      </c>
    </row>
    <row r="45" spans="1:14">
      <c r="A45" s="110">
        <v>24</v>
      </c>
      <c r="B45" s="105">
        <f t="shared" si="5"/>
        <v>44109</v>
      </c>
      <c r="C45" s="111">
        <f t="shared" si="10"/>
        <v>20.833333333333311</v>
      </c>
      <c r="D45" s="111">
        <f t="shared" si="1"/>
        <v>21.267361111111089</v>
      </c>
      <c r="E45" s="111">
        <f t="shared" si="6"/>
        <v>0</v>
      </c>
      <c r="F45" s="111">
        <f t="shared" si="7"/>
        <v>0</v>
      </c>
      <c r="G45" s="111">
        <v>0</v>
      </c>
      <c r="H45" s="111">
        <f t="shared" si="8"/>
        <v>42.1006944444444</v>
      </c>
      <c r="I45" s="111">
        <f t="shared" si="2"/>
        <v>3.4722222222222188</v>
      </c>
      <c r="J45" s="111"/>
      <c r="K45" s="111"/>
      <c r="L45" s="111"/>
      <c r="M45" s="116">
        <f t="shared" si="3"/>
        <v>42.1006944444444</v>
      </c>
      <c r="N45" s="111">
        <f t="shared" si="4"/>
        <v>499.99999999999949</v>
      </c>
    </row>
    <row r="46" spans="1:14">
      <c r="A46" s="110">
        <v>25</v>
      </c>
      <c r="B46" s="105">
        <f t="shared" si="5"/>
        <v>44140</v>
      </c>
      <c r="C46" s="111">
        <f>IF(A46&lt;=$F$7,(IF($F$6&lt;=40%,IF($F$9=$I$6,(-$C$21-$F$5*$K$15)/$F$7+IF(A46=$F$7,$F$5*$K$15,0),MINA(((N45-$F$5*$K$15)/($F$7-A46+1)*$F$12),(N45-$F$5*$K$15))+IF(A46=$F$7,$F$5*$K$15,0)),IF(A46=1,F31*(F32-40%),IF($F$9=$I$6,(-$C$21-$F$5*$K$15)/$F$7+IF(A46=$F$7,$F$5*$K$15,0),MINA(((N45-$F$5*$K$15)/($F$7-A46+1)*$F$10),(N45-$F$5*$K$15))+IF(A46=$F$7,$F$5*$K$15,0))))),0)</f>
        <v>20.833333333333311</v>
      </c>
      <c r="D46" s="111">
        <f t="shared" si="1"/>
        <v>20.416666666666647</v>
      </c>
      <c r="E46" s="111">
        <f t="shared" si="6"/>
        <v>0</v>
      </c>
      <c r="F46" s="111">
        <f t="shared" si="7"/>
        <v>0</v>
      </c>
      <c r="G46" s="111">
        <v>0</v>
      </c>
      <c r="H46" s="111">
        <f t="shared" si="8"/>
        <v>41.249999999999957</v>
      </c>
      <c r="I46" s="111">
        <f t="shared" si="2"/>
        <v>3.4722222222222188</v>
      </c>
      <c r="J46" s="111"/>
      <c r="K46" s="111"/>
      <c r="L46" s="111"/>
      <c r="M46" s="116">
        <f t="shared" si="3"/>
        <v>41.249999999999957</v>
      </c>
      <c r="N46" s="111">
        <f t="shared" si="4"/>
        <v>479.16666666666617</v>
      </c>
    </row>
    <row r="47" spans="1:14">
      <c r="A47" s="110">
        <v>26</v>
      </c>
      <c r="B47" s="105">
        <f t="shared" si="5"/>
        <v>44170</v>
      </c>
      <c r="C47" s="111">
        <f t="shared" ref="C47:C81" si="11">IF(A47&lt;=$F$7,(IF($F$6&lt;=40%,IF($F$9=$I$6,(-$C$21-$F$5*$K$15)/$F$7+IF(A47=$F$7,$F$5*$K$15,0),MINA(((N46-$F$5*$K$15)/($F$7-A47+1)*$F$12),(N46-$F$5*$K$15))+IF(A47=$F$7,$F$5*$K$15,0)),IF(A47=1,F32*(F33-40%),IF($F$9=$I$6,(-$C$21-$F$5*$K$15)/$F$7+IF(A47=$F$7,$F$5*$K$15,0),MINA(((N46-$F$5*$K$15)/($F$7-A47+1)*$F$10),(N46-$F$5*$K$15))+IF(A47=$F$7,$F$5*$K$15,0))))),0)</f>
        <v>20.833333333333311</v>
      </c>
      <c r="D47" s="111">
        <f t="shared" si="1"/>
        <v>19.565972222222204</v>
      </c>
      <c r="E47" s="111">
        <f t="shared" si="6"/>
        <v>0</v>
      </c>
      <c r="F47" s="111">
        <f t="shared" si="7"/>
        <v>0</v>
      </c>
      <c r="G47" s="111">
        <v>0</v>
      </c>
      <c r="H47" s="111">
        <f t="shared" si="8"/>
        <v>40.399305555555515</v>
      </c>
      <c r="I47" s="111">
        <f t="shared" si="2"/>
        <v>3.4722222222222188</v>
      </c>
      <c r="J47" s="111"/>
      <c r="K47" s="111"/>
      <c r="L47" s="111"/>
      <c r="M47" s="116">
        <f t="shared" si="3"/>
        <v>40.399305555555515</v>
      </c>
      <c r="N47" s="111">
        <f t="shared" si="4"/>
        <v>458.33333333333286</v>
      </c>
    </row>
    <row r="48" spans="1:14">
      <c r="A48" s="110">
        <v>27</v>
      </c>
      <c r="B48" s="105">
        <f t="shared" si="5"/>
        <v>44201</v>
      </c>
      <c r="C48" s="111">
        <f t="shared" si="11"/>
        <v>20.833333333333311</v>
      </c>
      <c r="D48" s="111">
        <f t="shared" si="1"/>
        <v>18.715277777777757</v>
      </c>
      <c r="E48" s="111">
        <f t="shared" si="6"/>
        <v>0</v>
      </c>
      <c r="F48" s="111">
        <f t="shared" si="7"/>
        <v>0</v>
      </c>
      <c r="G48" s="111">
        <v>0</v>
      </c>
      <c r="H48" s="111">
        <f t="shared" si="8"/>
        <v>39.548611111111072</v>
      </c>
      <c r="I48" s="111">
        <f t="shared" si="2"/>
        <v>3.4722222222222188</v>
      </c>
      <c r="J48" s="111"/>
      <c r="K48" s="111"/>
      <c r="L48" s="111"/>
      <c r="M48" s="116">
        <f t="shared" si="3"/>
        <v>39.548611111111072</v>
      </c>
      <c r="N48" s="111">
        <f t="shared" si="4"/>
        <v>437.49999999999955</v>
      </c>
    </row>
    <row r="49" spans="1:14">
      <c r="A49" s="110">
        <v>28</v>
      </c>
      <c r="B49" s="105">
        <f t="shared" si="5"/>
        <v>44232</v>
      </c>
      <c r="C49" s="111">
        <f t="shared" si="11"/>
        <v>20.833333333333311</v>
      </c>
      <c r="D49" s="111">
        <f t="shared" si="1"/>
        <v>17.864583333333314</v>
      </c>
      <c r="E49" s="111">
        <f t="shared" si="6"/>
        <v>0</v>
      </c>
      <c r="F49" s="111">
        <f t="shared" si="7"/>
        <v>0</v>
      </c>
      <c r="G49" s="111">
        <v>0</v>
      </c>
      <c r="H49" s="111">
        <f t="shared" si="8"/>
        <v>38.697916666666629</v>
      </c>
      <c r="I49" s="111">
        <f t="shared" si="2"/>
        <v>3.4722222222222188</v>
      </c>
      <c r="J49" s="111"/>
      <c r="K49" s="111"/>
      <c r="L49" s="111"/>
      <c r="M49" s="116">
        <f t="shared" si="3"/>
        <v>38.697916666666629</v>
      </c>
      <c r="N49" s="111">
        <f t="shared" si="4"/>
        <v>416.66666666666623</v>
      </c>
    </row>
    <row r="50" spans="1:14">
      <c r="A50" s="110">
        <v>29</v>
      </c>
      <c r="B50" s="105">
        <f t="shared" si="5"/>
        <v>44260</v>
      </c>
      <c r="C50" s="111">
        <f t="shared" si="11"/>
        <v>20.833333333333311</v>
      </c>
      <c r="D50" s="111">
        <f t="shared" si="1"/>
        <v>17.013888888888872</v>
      </c>
      <c r="E50" s="111">
        <f t="shared" si="6"/>
        <v>0</v>
      </c>
      <c r="F50" s="111">
        <f t="shared" si="7"/>
        <v>0</v>
      </c>
      <c r="G50" s="111">
        <v>0</v>
      </c>
      <c r="H50" s="111">
        <f t="shared" si="8"/>
        <v>37.847222222222186</v>
      </c>
      <c r="I50" s="111">
        <f t="shared" si="2"/>
        <v>3.4722222222222188</v>
      </c>
      <c r="J50" s="111"/>
      <c r="K50" s="111"/>
      <c r="L50" s="111"/>
      <c r="M50" s="116">
        <f t="shared" si="3"/>
        <v>37.847222222222186</v>
      </c>
      <c r="N50" s="111">
        <f t="shared" si="4"/>
        <v>395.83333333333292</v>
      </c>
    </row>
    <row r="51" spans="1:14">
      <c r="A51" s="110">
        <v>30</v>
      </c>
      <c r="B51" s="105">
        <f t="shared" si="5"/>
        <v>44291</v>
      </c>
      <c r="C51" s="111">
        <f t="shared" si="11"/>
        <v>20.833333333333311</v>
      </c>
      <c r="D51" s="111">
        <f t="shared" si="1"/>
        <v>16.163194444444425</v>
      </c>
      <c r="E51" s="111">
        <f t="shared" si="6"/>
        <v>0</v>
      </c>
      <c r="F51" s="111">
        <f t="shared" si="7"/>
        <v>0</v>
      </c>
      <c r="G51" s="111">
        <v>0</v>
      </c>
      <c r="H51" s="111">
        <f t="shared" si="8"/>
        <v>36.996527777777736</v>
      </c>
      <c r="I51" s="111">
        <f t="shared" si="2"/>
        <v>3.4722222222222188</v>
      </c>
      <c r="J51" s="111"/>
      <c r="K51" s="111"/>
      <c r="L51" s="111"/>
      <c r="M51" s="116">
        <f t="shared" si="3"/>
        <v>36.996527777777736</v>
      </c>
      <c r="N51" s="111">
        <f t="shared" si="4"/>
        <v>374.9999999999996</v>
      </c>
    </row>
    <row r="52" spans="1:14">
      <c r="A52" s="110">
        <v>31</v>
      </c>
      <c r="B52" s="105">
        <f t="shared" si="5"/>
        <v>44321</v>
      </c>
      <c r="C52" s="111">
        <f t="shared" si="11"/>
        <v>20.833333333333311</v>
      </c>
      <c r="D52" s="111">
        <f t="shared" si="1"/>
        <v>15.312499999999984</v>
      </c>
      <c r="E52" s="111">
        <f t="shared" si="6"/>
        <v>0</v>
      </c>
      <c r="F52" s="111">
        <f t="shared" si="7"/>
        <v>0</v>
      </c>
      <c r="G52" s="111">
        <v>0</v>
      </c>
      <c r="H52" s="111">
        <f t="shared" si="8"/>
        <v>36.145833333333293</v>
      </c>
      <c r="I52" s="111">
        <f t="shared" si="2"/>
        <v>3.4722222222222188</v>
      </c>
      <c r="J52" s="111"/>
      <c r="K52" s="111"/>
      <c r="L52" s="111"/>
      <c r="M52" s="116">
        <f t="shared" si="3"/>
        <v>36.145833333333293</v>
      </c>
      <c r="N52" s="111">
        <f t="shared" si="4"/>
        <v>354.16666666666629</v>
      </c>
    </row>
    <row r="53" spans="1:14">
      <c r="A53" s="110">
        <v>32</v>
      </c>
      <c r="B53" s="105">
        <f t="shared" si="5"/>
        <v>44352</v>
      </c>
      <c r="C53" s="111">
        <f t="shared" si="11"/>
        <v>20.833333333333311</v>
      </c>
      <c r="D53" s="111">
        <f t="shared" si="1"/>
        <v>14.461805555555541</v>
      </c>
      <c r="E53" s="111">
        <f t="shared" si="6"/>
        <v>0</v>
      </c>
      <c r="F53" s="111">
        <f t="shared" si="7"/>
        <v>0</v>
      </c>
      <c r="G53" s="111">
        <v>0</v>
      </c>
      <c r="H53" s="111">
        <f t="shared" si="8"/>
        <v>35.29513888888885</v>
      </c>
      <c r="I53" s="111">
        <f t="shared" si="2"/>
        <v>3.4722222222222188</v>
      </c>
      <c r="J53" s="111"/>
      <c r="K53" s="111"/>
      <c r="L53" s="111"/>
      <c r="M53" s="116">
        <f t="shared" si="3"/>
        <v>35.29513888888885</v>
      </c>
      <c r="N53" s="111">
        <f t="shared" si="4"/>
        <v>333.33333333333297</v>
      </c>
    </row>
    <row r="54" spans="1:14">
      <c r="A54" s="110">
        <v>33</v>
      </c>
      <c r="B54" s="105">
        <f t="shared" si="5"/>
        <v>44382</v>
      </c>
      <c r="C54" s="111">
        <f t="shared" si="11"/>
        <v>20.833333333333311</v>
      </c>
      <c r="D54" s="111">
        <f t="shared" si="1"/>
        <v>13.611111111111095</v>
      </c>
      <c r="E54" s="111">
        <f t="shared" si="6"/>
        <v>0</v>
      </c>
      <c r="F54" s="111">
        <f t="shared" si="7"/>
        <v>0</v>
      </c>
      <c r="G54" s="111">
        <v>0</v>
      </c>
      <c r="H54" s="111">
        <f t="shared" si="8"/>
        <v>34.444444444444407</v>
      </c>
      <c r="I54" s="111">
        <f t="shared" si="2"/>
        <v>3.4722222222222188</v>
      </c>
      <c r="J54" s="111"/>
      <c r="K54" s="111"/>
      <c r="L54" s="111"/>
      <c r="M54" s="116">
        <f t="shared" si="3"/>
        <v>34.444444444444407</v>
      </c>
      <c r="N54" s="111">
        <f t="shared" si="4"/>
        <v>312.49999999999966</v>
      </c>
    </row>
    <row r="55" spans="1:14">
      <c r="A55" s="110">
        <v>34</v>
      </c>
      <c r="B55" s="105">
        <f t="shared" si="5"/>
        <v>44413</v>
      </c>
      <c r="C55" s="111">
        <f t="shared" si="11"/>
        <v>20.833333333333311</v>
      </c>
      <c r="D55" s="111">
        <f t="shared" si="1"/>
        <v>12.760416666666652</v>
      </c>
      <c r="E55" s="111">
        <f t="shared" si="6"/>
        <v>0</v>
      </c>
      <c r="F55" s="111">
        <f t="shared" si="7"/>
        <v>0</v>
      </c>
      <c r="G55" s="111">
        <v>0</v>
      </c>
      <c r="H55" s="111">
        <f t="shared" si="8"/>
        <v>33.593749999999964</v>
      </c>
      <c r="I55" s="111">
        <f t="shared" si="2"/>
        <v>3.4722222222222188</v>
      </c>
      <c r="J55" s="111"/>
      <c r="K55" s="111"/>
      <c r="L55" s="111"/>
      <c r="M55" s="116">
        <f t="shared" si="3"/>
        <v>33.593749999999964</v>
      </c>
      <c r="N55" s="111">
        <f t="shared" si="4"/>
        <v>291.66666666666634</v>
      </c>
    </row>
    <row r="56" spans="1:14">
      <c r="A56" s="110">
        <v>35</v>
      </c>
      <c r="B56" s="105">
        <f t="shared" si="5"/>
        <v>44444</v>
      </c>
      <c r="C56" s="111">
        <f t="shared" si="11"/>
        <v>20.833333333333311</v>
      </c>
      <c r="D56" s="111">
        <f t="shared" si="1"/>
        <v>11.909722222222209</v>
      </c>
      <c r="E56" s="111">
        <f t="shared" si="6"/>
        <v>0</v>
      </c>
      <c r="F56" s="111">
        <f t="shared" si="7"/>
        <v>0</v>
      </c>
      <c r="G56" s="111">
        <v>0</v>
      </c>
      <c r="H56" s="111">
        <f t="shared" si="8"/>
        <v>32.743055555555522</v>
      </c>
      <c r="I56" s="111">
        <f t="shared" si="2"/>
        <v>3.4722222222222188</v>
      </c>
      <c r="J56" s="111"/>
      <c r="K56" s="111"/>
      <c r="L56" s="111"/>
      <c r="M56" s="116">
        <f t="shared" si="3"/>
        <v>32.743055555555522</v>
      </c>
      <c r="N56" s="111">
        <f t="shared" si="4"/>
        <v>270.83333333333303</v>
      </c>
    </row>
    <row r="57" spans="1:14">
      <c r="A57" s="110">
        <v>36</v>
      </c>
      <c r="B57" s="105">
        <f t="shared" si="5"/>
        <v>44474</v>
      </c>
      <c r="C57" s="111">
        <f t="shared" si="11"/>
        <v>20.833333333333311</v>
      </c>
      <c r="D57" s="111">
        <f t="shared" si="1"/>
        <v>11.059027777777764</v>
      </c>
      <c r="E57" s="111">
        <f t="shared" si="6"/>
        <v>0</v>
      </c>
      <c r="F57" s="111">
        <f t="shared" si="7"/>
        <v>0</v>
      </c>
      <c r="G57" s="111">
        <v>0</v>
      </c>
      <c r="H57" s="111">
        <f t="shared" si="8"/>
        <v>31.892361111111075</v>
      </c>
      <c r="I57" s="111">
        <f t="shared" si="2"/>
        <v>3.4722222222222188</v>
      </c>
      <c r="J57" s="111"/>
      <c r="K57" s="111"/>
      <c r="L57" s="111"/>
      <c r="M57" s="116">
        <f t="shared" si="3"/>
        <v>31.892361111111075</v>
      </c>
      <c r="N57" s="111">
        <f t="shared" si="4"/>
        <v>249.99999999999972</v>
      </c>
    </row>
    <row r="58" spans="1:14">
      <c r="A58" s="110">
        <v>37</v>
      </c>
      <c r="B58" s="105">
        <f t="shared" si="5"/>
        <v>44505</v>
      </c>
      <c r="C58" s="111">
        <f t="shared" si="11"/>
        <v>20.833333333333311</v>
      </c>
      <c r="D58" s="111">
        <f t="shared" si="1"/>
        <v>10.208333333333321</v>
      </c>
      <c r="E58" s="111">
        <f t="shared" si="6"/>
        <v>0</v>
      </c>
      <c r="F58" s="111">
        <f t="shared" si="7"/>
        <v>0</v>
      </c>
      <c r="G58" s="111">
        <v>0</v>
      </c>
      <c r="H58" s="111">
        <f t="shared" si="8"/>
        <v>31.041666666666632</v>
      </c>
      <c r="I58" s="111">
        <f t="shared" si="2"/>
        <v>3.4722222222222188</v>
      </c>
      <c r="J58" s="111"/>
      <c r="K58" s="111"/>
      <c r="L58" s="111"/>
      <c r="M58" s="116">
        <f t="shared" si="3"/>
        <v>31.041666666666632</v>
      </c>
      <c r="N58" s="111">
        <f t="shared" si="4"/>
        <v>229.1666666666664</v>
      </c>
    </row>
    <row r="59" spans="1:14">
      <c r="A59" s="110">
        <v>38</v>
      </c>
      <c r="B59" s="105">
        <f t="shared" si="5"/>
        <v>44535</v>
      </c>
      <c r="C59" s="111">
        <f t="shared" si="11"/>
        <v>20.833333333333311</v>
      </c>
      <c r="D59" s="111">
        <f t="shared" si="1"/>
        <v>9.3576388888888768</v>
      </c>
      <c r="E59" s="111">
        <f t="shared" si="6"/>
        <v>0</v>
      </c>
      <c r="F59" s="111">
        <f t="shared" si="7"/>
        <v>0</v>
      </c>
      <c r="G59" s="111">
        <v>0</v>
      </c>
      <c r="H59" s="111">
        <f t="shared" si="8"/>
        <v>30.190972222222186</v>
      </c>
      <c r="I59" s="111">
        <f t="shared" si="2"/>
        <v>3.4722222222222188</v>
      </c>
      <c r="J59" s="111"/>
      <c r="K59" s="111"/>
      <c r="L59" s="111"/>
      <c r="M59" s="116">
        <f t="shared" si="3"/>
        <v>30.190972222222186</v>
      </c>
      <c r="N59" s="111">
        <f t="shared" si="4"/>
        <v>208.33333333333309</v>
      </c>
    </row>
    <row r="60" spans="1:14">
      <c r="A60" s="110">
        <v>39</v>
      </c>
      <c r="B60" s="105">
        <f t="shared" si="5"/>
        <v>44566</v>
      </c>
      <c r="C60" s="111">
        <f t="shared" si="11"/>
        <v>20.833333333333307</v>
      </c>
      <c r="D60" s="111">
        <f t="shared" si="1"/>
        <v>8.506944444444434</v>
      </c>
      <c r="E60" s="111">
        <f t="shared" si="6"/>
        <v>0</v>
      </c>
      <c r="F60" s="111">
        <f t="shared" si="7"/>
        <v>0</v>
      </c>
      <c r="G60" s="111">
        <v>0</v>
      </c>
      <c r="H60" s="111">
        <f t="shared" si="8"/>
        <v>29.340277777777743</v>
      </c>
      <c r="I60" s="111">
        <f t="shared" si="2"/>
        <v>3.4722222222222183</v>
      </c>
      <c r="J60" s="111"/>
      <c r="K60" s="111"/>
      <c r="L60" s="111"/>
      <c r="M60" s="116">
        <f t="shared" si="3"/>
        <v>29.340277777777743</v>
      </c>
      <c r="N60" s="111">
        <f t="shared" si="4"/>
        <v>187.49999999999977</v>
      </c>
    </row>
    <row r="61" spans="1:14">
      <c r="A61" s="110">
        <v>40</v>
      </c>
      <c r="B61" s="105">
        <f t="shared" si="5"/>
        <v>44597</v>
      </c>
      <c r="C61" s="111">
        <f t="shared" si="11"/>
        <v>20.833333333333307</v>
      </c>
      <c r="D61" s="111">
        <f t="shared" si="1"/>
        <v>7.6562499999999902</v>
      </c>
      <c r="E61" s="111">
        <f t="shared" si="6"/>
        <v>0</v>
      </c>
      <c r="F61" s="111">
        <f t="shared" si="7"/>
        <v>0</v>
      </c>
      <c r="G61" s="111">
        <v>0</v>
      </c>
      <c r="H61" s="111">
        <f t="shared" si="8"/>
        <v>28.489583333333297</v>
      </c>
      <c r="I61" s="111">
        <f t="shared" si="2"/>
        <v>3.4722222222222183</v>
      </c>
      <c r="J61" s="111"/>
      <c r="K61" s="111"/>
      <c r="L61" s="111"/>
      <c r="M61" s="116">
        <f t="shared" si="3"/>
        <v>28.489583333333297</v>
      </c>
      <c r="N61" s="111">
        <f t="shared" si="4"/>
        <v>166.66666666666646</v>
      </c>
    </row>
    <row r="62" spans="1:14">
      <c r="A62" s="110">
        <v>41</v>
      </c>
      <c r="B62" s="105">
        <f t="shared" si="5"/>
        <v>44625</v>
      </c>
      <c r="C62" s="111">
        <f t="shared" si="11"/>
        <v>20.833333333333307</v>
      </c>
      <c r="D62" s="111">
        <f t="shared" si="1"/>
        <v>6.8055555555555465</v>
      </c>
      <c r="E62" s="111">
        <f t="shared" si="6"/>
        <v>0</v>
      </c>
      <c r="F62" s="111">
        <f t="shared" si="7"/>
        <v>0</v>
      </c>
      <c r="G62" s="111">
        <v>0</v>
      </c>
      <c r="H62" s="111">
        <f t="shared" si="8"/>
        <v>27.638888888888854</v>
      </c>
      <c r="I62" s="111">
        <f t="shared" si="2"/>
        <v>3.4722222222222183</v>
      </c>
      <c r="J62" s="111"/>
      <c r="K62" s="111"/>
      <c r="L62" s="111"/>
      <c r="M62" s="116">
        <f t="shared" si="3"/>
        <v>27.638888888888854</v>
      </c>
      <c r="N62" s="111">
        <f t="shared" si="4"/>
        <v>145.83333333333314</v>
      </c>
    </row>
    <row r="63" spans="1:14">
      <c r="A63" s="110">
        <v>42</v>
      </c>
      <c r="B63" s="105">
        <f t="shared" si="5"/>
        <v>44656</v>
      </c>
      <c r="C63" s="111">
        <f t="shared" si="11"/>
        <v>20.833333333333307</v>
      </c>
      <c r="D63" s="111">
        <f t="shared" si="1"/>
        <v>5.9548611111111036</v>
      </c>
      <c r="E63" s="111">
        <f t="shared" si="6"/>
        <v>0</v>
      </c>
      <c r="F63" s="111">
        <f t="shared" si="7"/>
        <v>0</v>
      </c>
      <c r="G63" s="111">
        <v>0</v>
      </c>
      <c r="H63" s="111">
        <f t="shared" si="8"/>
        <v>26.788194444444411</v>
      </c>
      <c r="I63" s="111">
        <f t="shared" si="2"/>
        <v>3.4722222222222183</v>
      </c>
      <c r="J63" s="111"/>
      <c r="K63" s="111"/>
      <c r="L63" s="111"/>
      <c r="M63" s="116">
        <f t="shared" si="3"/>
        <v>26.788194444444411</v>
      </c>
      <c r="N63" s="111">
        <f t="shared" si="4"/>
        <v>124.99999999999983</v>
      </c>
    </row>
    <row r="64" spans="1:14">
      <c r="A64" s="110">
        <v>43</v>
      </c>
      <c r="B64" s="105">
        <f t="shared" si="5"/>
        <v>44686</v>
      </c>
      <c r="C64" s="111">
        <f t="shared" si="11"/>
        <v>20.833333333333304</v>
      </c>
      <c r="D64" s="111">
        <f t="shared" si="1"/>
        <v>5.1041666666666599</v>
      </c>
      <c r="E64" s="111">
        <f t="shared" si="6"/>
        <v>0</v>
      </c>
      <c r="F64" s="111">
        <f t="shared" si="7"/>
        <v>0</v>
      </c>
      <c r="G64" s="111">
        <v>0</v>
      </c>
      <c r="H64" s="111">
        <f t="shared" si="8"/>
        <v>25.937499999999964</v>
      </c>
      <c r="I64" s="111">
        <f t="shared" si="2"/>
        <v>3.472222222222217</v>
      </c>
      <c r="J64" s="111"/>
      <c r="K64" s="111"/>
      <c r="L64" s="111"/>
      <c r="M64" s="116">
        <f t="shared" si="3"/>
        <v>25.937499999999964</v>
      </c>
      <c r="N64" s="111">
        <f t="shared" si="4"/>
        <v>104.16666666666653</v>
      </c>
    </row>
    <row r="65" spans="1:14">
      <c r="A65" s="110">
        <v>44</v>
      </c>
      <c r="B65" s="105">
        <f t="shared" si="5"/>
        <v>44717</v>
      </c>
      <c r="C65" s="111">
        <f t="shared" si="11"/>
        <v>20.833333333333307</v>
      </c>
      <c r="D65" s="111">
        <f t="shared" si="1"/>
        <v>4.253472222222217</v>
      </c>
      <c r="E65" s="111">
        <f t="shared" si="6"/>
        <v>0</v>
      </c>
      <c r="F65" s="111">
        <f t="shared" si="7"/>
        <v>0</v>
      </c>
      <c r="G65" s="111">
        <v>0</v>
      </c>
      <c r="H65" s="111">
        <f t="shared" si="8"/>
        <v>25.086805555555525</v>
      </c>
      <c r="I65" s="111">
        <f t="shared" si="2"/>
        <v>3.4722222222222183</v>
      </c>
      <c r="J65" s="111"/>
      <c r="K65" s="111"/>
      <c r="L65" s="111"/>
      <c r="M65" s="116">
        <f t="shared" si="3"/>
        <v>25.086805555555525</v>
      </c>
      <c r="N65" s="111">
        <f t="shared" si="4"/>
        <v>83.333333333333229</v>
      </c>
    </row>
    <row r="66" spans="1:14">
      <c r="A66" s="110">
        <v>45</v>
      </c>
      <c r="B66" s="105">
        <f t="shared" si="5"/>
        <v>44747</v>
      </c>
      <c r="C66" s="111">
        <f t="shared" si="11"/>
        <v>20.833333333333307</v>
      </c>
      <c r="D66" s="111">
        <f t="shared" si="1"/>
        <v>3.4027777777777732</v>
      </c>
      <c r="E66" s="111">
        <f t="shared" si="6"/>
        <v>0</v>
      </c>
      <c r="F66" s="111">
        <f t="shared" si="7"/>
        <v>0</v>
      </c>
      <c r="G66" s="111">
        <v>0</v>
      </c>
      <c r="H66" s="111">
        <f t="shared" si="8"/>
        <v>24.236111111111079</v>
      </c>
      <c r="I66" s="111">
        <f t="shared" si="2"/>
        <v>3.4722222222222183</v>
      </c>
      <c r="J66" s="111"/>
      <c r="K66" s="111"/>
      <c r="L66" s="111"/>
      <c r="M66" s="116">
        <f t="shared" si="3"/>
        <v>24.236111111111079</v>
      </c>
      <c r="N66" s="111">
        <f t="shared" si="4"/>
        <v>62.499999999999922</v>
      </c>
    </row>
    <row r="67" spans="1:14">
      <c r="A67" s="110">
        <v>46</v>
      </c>
      <c r="B67" s="105">
        <f t="shared" si="5"/>
        <v>44778</v>
      </c>
      <c r="C67" s="111">
        <f t="shared" si="11"/>
        <v>20.833333333333307</v>
      </c>
      <c r="D67" s="111">
        <f t="shared" si="1"/>
        <v>2.5520833333333299</v>
      </c>
      <c r="E67" s="111">
        <f t="shared" si="6"/>
        <v>0</v>
      </c>
      <c r="F67" s="111">
        <f t="shared" si="7"/>
        <v>0</v>
      </c>
      <c r="G67" s="111">
        <v>0</v>
      </c>
      <c r="H67" s="111">
        <f t="shared" si="8"/>
        <v>23.385416666666636</v>
      </c>
      <c r="I67" s="111">
        <f t="shared" si="2"/>
        <v>3.4722222222222183</v>
      </c>
      <c r="J67" s="111"/>
      <c r="K67" s="111"/>
      <c r="L67" s="111"/>
      <c r="M67" s="116">
        <f t="shared" si="3"/>
        <v>23.385416666666636</v>
      </c>
      <c r="N67" s="111">
        <f t="shared" si="4"/>
        <v>41.666666666666615</v>
      </c>
    </row>
    <row r="68" spans="1:14">
      <c r="A68" s="110">
        <v>47</v>
      </c>
      <c r="B68" s="105">
        <f t="shared" si="5"/>
        <v>44809</v>
      </c>
      <c r="C68" s="111">
        <f t="shared" si="11"/>
        <v>20.833333333333307</v>
      </c>
      <c r="D68" s="111">
        <f t="shared" si="1"/>
        <v>1.7013888888888866</v>
      </c>
      <c r="E68" s="111">
        <f t="shared" si="6"/>
        <v>0</v>
      </c>
      <c r="F68" s="111">
        <f t="shared" si="7"/>
        <v>0</v>
      </c>
      <c r="G68" s="111">
        <v>0</v>
      </c>
      <c r="H68" s="111">
        <f t="shared" si="8"/>
        <v>22.534722222222193</v>
      </c>
      <c r="I68" s="111">
        <f t="shared" si="2"/>
        <v>3.4722222222222183</v>
      </c>
      <c r="J68" s="111"/>
      <c r="K68" s="111"/>
      <c r="L68" s="111"/>
      <c r="M68" s="116">
        <f t="shared" si="3"/>
        <v>22.534722222222193</v>
      </c>
      <c r="N68" s="111">
        <f t="shared" si="4"/>
        <v>20.833333333333307</v>
      </c>
    </row>
    <row r="69" spans="1:14">
      <c r="A69" s="110">
        <v>48</v>
      </c>
      <c r="B69" s="105">
        <f t="shared" si="5"/>
        <v>44839</v>
      </c>
      <c r="C69" s="111">
        <f t="shared" si="11"/>
        <v>20.833333333333307</v>
      </c>
      <c r="D69" s="111">
        <f t="shared" si="1"/>
        <v>0.85069444444444331</v>
      </c>
      <c r="E69" s="111">
        <f t="shared" si="6"/>
        <v>0</v>
      </c>
      <c r="F69" s="111">
        <f t="shared" si="7"/>
        <v>0</v>
      </c>
      <c r="G69" s="111">
        <v>0</v>
      </c>
      <c r="H69" s="111">
        <f t="shared" si="8"/>
        <v>21.68402777777775</v>
      </c>
      <c r="I69" s="111">
        <f t="shared" si="2"/>
        <v>3.4722222222222183</v>
      </c>
      <c r="J69" s="111"/>
      <c r="K69" s="111"/>
      <c r="L69" s="111"/>
      <c r="M69" s="116">
        <f t="shared" si="3"/>
        <v>21.68402777777775</v>
      </c>
      <c r="N69" s="111">
        <f t="shared" si="4"/>
        <v>0</v>
      </c>
    </row>
    <row r="70" spans="1:14">
      <c r="A70" s="110">
        <v>49</v>
      </c>
      <c r="B70" s="105">
        <f t="shared" si="5"/>
        <v>44870</v>
      </c>
      <c r="C70" s="111">
        <f t="shared" si="11"/>
        <v>0</v>
      </c>
      <c r="D70" s="111">
        <f t="shared" si="1"/>
        <v>0</v>
      </c>
      <c r="E70" s="111">
        <f t="shared" si="6"/>
        <v>0</v>
      </c>
      <c r="F70" s="111">
        <f t="shared" si="7"/>
        <v>0</v>
      </c>
      <c r="G70" s="111">
        <v>0</v>
      </c>
      <c r="H70" s="111">
        <f t="shared" si="8"/>
        <v>0</v>
      </c>
      <c r="I70" s="111">
        <f t="shared" si="2"/>
        <v>0</v>
      </c>
      <c r="J70" s="111"/>
      <c r="K70" s="111"/>
      <c r="L70" s="111"/>
      <c r="M70" s="116">
        <f t="shared" si="3"/>
        <v>0</v>
      </c>
      <c r="N70" s="111">
        <f t="shared" si="4"/>
        <v>0</v>
      </c>
    </row>
    <row r="71" spans="1:14">
      <c r="A71" s="110">
        <v>50</v>
      </c>
      <c r="B71" s="105">
        <f t="shared" si="5"/>
        <v>44900</v>
      </c>
      <c r="C71" s="111">
        <f t="shared" si="11"/>
        <v>0</v>
      </c>
      <c r="D71" s="111">
        <f t="shared" si="1"/>
        <v>0</v>
      </c>
      <c r="E71" s="111">
        <f t="shared" si="6"/>
        <v>0</v>
      </c>
      <c r="F71" s="111">
        <f t="shared" si="7"/>
        <v>0</v>
      </c>
      <c r="G71" s="111">
        <v>0</v>
      </c>
      <c r="H71" s="111">
        <f t="shared" si="8"/>
        <v>0</v>
      </c>
      <c r="I71" s="111">
        <f t="shared" si="2"/>
        <v>0</v>
      </c>
      <c r="J71" s="111"/>
      <c r="K71" s="111"/>
      <c r="L71" s="111"/>
      <c r="M71" s="116">
        <f t="shared" si="3"/>
        <v>0</v>
      </c>
      <c r="N71" s="111">
        <f t="shared" si="4"/>
        <v>0</v>
      </c>
    </row>
    <row r="72" spans="1:14">
      <c r="A72" s="110">
        <v>51</v>
      </c>
      <c r="B72" s="105">
        <f t="shared" si="5"/>
        <v>44931</v>
      </c>
      <c r="C72" s="111">
        <f t="shared" si="11"/>
        <v>0</v>
      </c>
      <c r="D72" s="111">
        <f t="shared" si="1"/>
        <v>0</v>
      </c>
      <c r="E72" s="111">
        <f t="shared" si="6"/>
        <v>0</v>
      </c>
      <c r="F72" s="111">
        <f t="shared" si="7"/>
        <v>0</v>
      </c>
      <c r="G72" s="111">
        <v>0</v>
      </c>
      <c r="H72" s="111">
        <f t="shared" si="8"/>
        <v>0</v>
      </c>
      <c r="I72" s="111">
        <f t="shared" si="2"/>
        <v>0</v>
      </c>
      <c r="J72" s="111"/>
      <c r="K72" s="111"/>
      <c r="L72" s="111"/>
      <c r="M72" s="116">
        <f t="shared" si="3"/>
        <v>0</v>
      </c>
      <c r="N72" s="111">
        <f t="shared" si="4"/>
        <v>0</v>
      </c>
    </row>
    <row r="73" spans="1:14">
      <c r="A73" s="110">
        <v>52</v>
      </c>
      <c r="B73" s="105">
        <f t="shared" si="5"/>
        <v>44962</v>
      </c>
      <c r="C73" s="111">
        <f t="shared" si="11"/>
        <v>0</v>
      </c>
      <c r="D73" s="111">
        <f t="shared" si="1"/>
        <v>0</v>
      </c>
      <c r="E73" s="111">
        <f t="shared" si="6"/>
        <v>0</v>
      </c>
      <c r="F73" s="111">
        <f t="shared" si="7"/>
        <v>0</v>
      </c>
      <c r="G73" s="111">
        <v>0</v>
      </c>
      <c r="H73" s="111">
        <f t="shared" si="8"/>
        <v>0</v>
      </c>
      <c r="I73" s="111">
        <f t="shared" si="2"/>
        <v>0</v>
      </c>
      <c r="J73" s="111"/>
      <c r="K73" s="111"/>
      <c r="L73" s="111">
        <v>0</v>
      </c>
      <c r="M73" s="116">
        <f t="shared" si="3"/>
        <v>0</v>
      </c>
      <c r="N73" s="111">
        <f t="shared" si="4"/>
        <v>0</v>
      </c>
    </row>
    <row r="74" spans="1:14">
      <c r="A74" s="110">
        <v>53</v>
      </c>
      <c r="B74" s="105">
        <f t="shared" si="5"/>
        <v>44990</v>
      </c>
      <c r="C74" s="111">
        <f t="shared" si="11"/>
        <v>0</v>
      </c>
      <c r="D74" s="111">
        <f t="shared" si="1"/>
        <v>0</v>
      </c>
      <c r="E74" s="111">
        <f t="shared" si="6"/>
        <v>0</v>
      </c>
      <c r="F74" s="111">
        <f t="shared" si="7"/>
        <v>0</v>
      </c>
      <c r="G74" s="111">
        <v>0</v>
      </c>
      <c r="H74" s="111">
        <f t="shared" si="8"/>
        <v>0</v>
      </c>
      <c r="I74" s="111">
        <f t="shared" si="2"/>
        <v>0</v>
      </c>
      <c r="J74" s="111"/>
      <c r="K74" s="111"/>
      <c r="L74" s="111"/>
      <c r="M74" s="116">
        <f t="shared" si="3"/>
        <v>0</v>
      </c>
      <c r="N74" s="111">
        <f t="shared" si="4"/>
        <v>0</v>
      </c>
    </row>
    <row r="75" spans="1:14">
      <c r="A75" s="110">
        <v>54</v>
      </c>
      <c r="B75" s="105">
        <f t="shared" si="5"/>
        <v>45021</v>
      </c>
      <c r="C75" s="111">
        <f t="shared" si="11"/>
        <v>0</v>
      </c>
      <c r="D75" s="111">
        <f t="shared" si="1"/>
        <v>0</v>
      </c>
      <c r="E75" s="111">
        <f t="shared" si="6"/>
        <v>0</v>
      </c>
      <c r="F75" s="111">
        <f t="shared" si="7"/>
        <v>0</v>
      </c>
      <c r="G75" s="111">
        <v>0</v>
      </c>
      <c r="H75" s="111">
        <f t="shared" si="8"/>
        <v>0</v>
      </c>
      <c r="I75" s="111">
        <f t="shared" si="2"/>
        <v>0</v>
      </c>
      <c r="J75" s="111"/>
      <c r="K75" s="111"/>
      <c r="L75" s="111"/>
      <c r="M75" s="116">
        <f t="shared" si="3"/>
        <v>0</v>
      </c>
      <c r="N75" s="111">
        <f t="shared" si="4"/>
        <v>0</v>
      </c>
    </row>
    <row r="76" spans="1:14">
      <c r="A76" s="110">
        <v>55</v>
      </c>
      <c r="B76" s="105">
        <f t="shared" si="5"/>
        <v>45051</v>
      </c>
      <c r="C76" s="111">
        <f t="shared" si="11"/>
        <v>0</v>
      </c>
      <c r="D76" s="111">
        <f t="shared" si="1"/>
        <v>0</v>
      </c>
      <c r="E76" s="111">
        <f t="shared" si="6"/>
        <v>0</v>
      </c>
      <c r="F76" s="111">
        <f t="shared" si="7"/>
        <v>0</v>
      </c>
      <c r="G76" s="111">
        <v>0</v>
      </c>
      <c r="H76" s="111">
        <f t="shared" si="8"/>
        <v>0</v>
      </c>
      <c r="I76" s="111">
        <f t="shared" si="2"/>
        <v>0</v>
      </c>
      <c r="J76" s="111"/>
      <c r="K76" s="111"/>
      <c r="L76" s="111"/>
      <c r="M76" s="116">
        <f t="shared" si="3"/>
        <v>0</v>
      </c>
      <c r="N76" s="111">
        <f t="shared" si="4"/>
        <v>0</v>
      </c>
    </row>
    <row r="77" spans="1:14">
      <c r="A77" s="110">
        <v>56</v>
      </c>
      <c r="B77" s="105">
        <f t="shared" si="5"/>
        <v>45082</v>
      </c>
      <c r="C77" s="111">
        <f t="shared" si="11"/>
        <v>0</v>
      </c>
      <c r="D77" s="111">
        <f t="shared" si="1"/>
        <v>0</v>
      </c>
      <c r="E77" s="111">
        <f t="shared" si="6"/>
        <v>0</v>
      </c>
      <c r="F77" s="111">
        <f t="shared" si="7"/>
        <v>0</v>
      </c>
      <c r="G77" s="111">
        <v>0</v>
      </c>
      <c r="H77" s="111">
        <f t="shared" si="8"/>
        <v>0</v>
      </c>
      <c r="I77" s="111">
        <f t="shared" si="2"/>
        <v>0</v>
      </c>
      <c r="J77" s="111"/>
      <c r="K77" s="111"/>
      <c r="L77" s="111"/>
      <c r="M77" s="116">
        <f t="shared" si="3"/>
        <v>0</v>
      </c>
      <c r="N77" s="111">
        <f t="shared" si="4"/>
        <v>0</v>
      </c>
    </row>
    <row r="78" spans="1:14">
      <c r="A78" s="110">
        <v>57</v>
      </c>
      <c r="B78" s="105">
        <f t="shared" si="5"/>
        <v>45112</v>
      </c>
      <c r="C78" s="111">
        <f t="shared" si="11"/>
        <v>0</v>
      </c>
      <c r="D78" s="111">
        <f t="shared" si="1"/>
        <v>0</v>
      </c>
      <c r="E78" s="111">
        <f t="shared" si="6"/>
        <v>0</v>
      </c>
      <c r="F78" s="111">
        <f>IF(AND(A78&lt;=$F$7,$S$18="ДА"),($F$5*VLOOKUP(ROUNDUP(A78/12,0),$O$7:$Q$15,3,0)/12),0)</f>
        <v>0</v>
      </c>
      <c r="G78" s="111">
        <v>0</v>
      </c>
      <c r="H78" s="111">
        <f t="shared" si="8"/>
        <v>0</v>
      </c>
      <c r="I78" s="111">
        <f t="shared" si="2"/>
        <v>0</v>
      </c>
      <c r="J78" s="111"/>
      <c r="K78" s="111"/>
      <c r="L78" s="111"/>
      <c r="M78" s="116">
        <f t="shared" si="3"/>
        <v>0</v>
      </c>
      <c r="N78" s="111">
        <f t="shared" si="4"/>
        <v>0</v>
      </c>
    </row>
    <row r="79" spans="1:14">
      <c r="A79" s="110">
        <v>58</v>
      </c>
      <c r="B79" s="105">
        <f t="shared" si="5"/>
        <v>45143</v>
      </c>
      <c r="C79" s="111">
        <f t="shared" si="11"/>
        <v>0</v>
      </c>
      <c r="D79" s="111">
        <f t="shared" si="1"/>
        <v>0</v>
      </c>
      <c r="E79" s="111">
        <f t="shared" si="6"/>
        <v>0</v>
      </c>
      <c r="F79" s="111">
        <f t="shared" si="7"/>
        <v>0</v>
      </c>
      <c r="G79" s="111">
        <v>0</v>
      </c>
      <c r="H79" s="111">
        <f t="shared" si="8"/>
        <v>0</v>
      </c>
      <c r="I79" s="111">
        <f t="shared" si="2"/>
        <v>0</v>
      </c>
      <c r="J79" s="111"/>
      <c r="K79" s="111"/>
      <c r="L79" s="111"/>
      <c r="M79" s="116">
        <f t="shared" si="3"/>
        <v>0</v>
      </c>
      <c r="N79" s="111">
        <f t="shared" si="4"/>
        <v>0</v>
      </c>
    </row>
    <row r="80" spans="1:14">
      <c r="A80" s="110">
        <v>59</v>
      </c>
      <c r="B80" s="105">
        <f t="shared" si="5"/>
        <v>45174</v>
      </c>
      <c r="C80" s="111">
        <f t="shared" si="11"/>
        <v>0</v>
      </c>
      <c r="D80" s="111">
        <f t="shared" si="1"/>
        <v>0</v>
      </c>
      <c r="E80" s="111">
        <f t="shared" si="6"/>
        <v>0</v>
      </c>
      <c r="F80" s="111">
        <f t="shared" si="7"/>
        <v>0</v>
      </c>
      <c r="G80" s="111">
        <v>0</v>
      </c>
      <c r="H80" s="111">
        <f t="shared" si="8"/>
        <v>0</v>
      </c>
      <c r="I80" s="111">
        <f t="shared" si="2"/>
        <v>0</v>
      </c>
      <c r="J80" s="111"/>
      <c r="K80" s="111"/>
      <c r="L80" s="111"/>
      <c r="M80" s="116">
        <f t="shared" si="3"/>
        <v>0</v>
      </c>
      <c r="N80" s="111">
        <f t="shared" si="4"/>
        <v>0</v>
      </c>
    </row>
    <row r="81" spans="1:14">
      <c r="A81" s="110">
        <v>60</v>
      </c>
      <c r="B81" s="105">
        <f t="shared" si="5"/>
        <v>45204</v>
      </c>
      <c r="C81" s="111">
        <f t="shared" si="11"/>
        <v>0</v>
      </c>
      <c r="D81" s="111">
        <f t="shared" si="1"/>
        <v>0</v>
      </c>
      <c r="E81" s="111">
        <f t="shared" si="6"/>
        <v>0</v>
      </c>
      <c r="F81" s="111">
        <f t="shared" si="7"/>
        <v>0</v>
      </c>
      <c r="G81" s="111">
        <v>0</v>
      </c>
      <c r="H81" s="111">
        <f t="shared" si="8"/>
        <v>0</v>
      </c>
      <c r="I81" s="111">
        <f t="shared" si="2"/>
        <v>0</v>
      </c>
      <c r="J81" s="111"/>
      <c r="K81" s="111"/>
      <c r="L81" s="111"/>
      <c r="M81" s="116">
        <f t="shared" si="3"/>
        <v>0</v>
      </c>
      <c r="N81" s="111">
        <f t="shared" si="4"/>
        <v>0</v>
      </c>
    </row>
    <row r="82" spans="1:14">
      <c r="A82" s="110">
        <v>61</v>
      </c>
      <c r="B82" s="105">
        <f t="shared" si="5"/>
        <v>45235</v>
      </c>
      <c r="C82" s="111">
        <f t="shared" ref="C82:C105" si="12">IF(A82&lt;=$F$7,(IF($F$6&lt;=40%,IF($F$9=$I$6,(-$C$21-$F$5*$K$15)/$F$7+IF(A82=$F$7,$F$5*$K$15,0),MINA(((N81-$F$5*$K$15)/($F$7-A82+1)*$F$10),(N81-$F$5*$K$15))+IF(A82=$F$7,$F$5*$K$15,0)),IF(A82=1,F67*(F68-40%),IF($F$9=$I$6,(-$C$21-$F$5*$K$15)/$F$7+IF(A82=$F$7,$F$5*$K$15,0),MINA(((N81-$F$5*$K$15)/($F$7-A82+1)*$F$10),(N81-$F$5*$K$15))+IF(A82=$F$7,$F$5*$K$15,0))))),0)</f>
        <v>0</v>
      </c>
      <c r="D82" s="111">
        <f t="shared" si="1"/>
        <v>0</v>
      </c>
      <c r="E82" s="111">
        <f t="shared" si="6"/>
        <v>0</v>
      </c>
      <c r="F82" s="111">
        <f t="shared" si="7"/>
        <v>0</v>
      </c>
      <c r="G82" s="111">
        <f>IF(A82&lt;=$F$7,$F$5*VLOOKUP(ROUNDUP(A82/12,0),$O$7:$R$15,4,0)/12,0)-F82</f>
        <v>0</v>
      </c>
      <c r="H82" s="111">
        <f t="shared" si="8"/>
        <v>0</v>
      </c>
      <c r="I82" s="111">
        <f t="shared" si="2"/>
        <v>0</v>
      </c>
      <c r="J82" s="111"/>
      <c r="K82" s="111"/>
      <c r="L82" s="111"/>
      <c r="M82" s="116">
        <f t="shared" si="3"/>
        <v>0</v>
      </c>
      <c r="N82" s="111">
        <f t="shared" si="4"/>
        <v>0</v>
      </c>
    </row>
    <row r="83" spans="1:14">
      <c r="A83" s="110">
        <v>62</v>
      </c>
      <c r="B83" s="105">
        <f t="shared" si="5"/>
        <v>45265</v>
      </c>
      <c r="C83" s="111">
        <f t="shared" si="12"/>
        <v>0</v>
      </c>
      <c r="D83" s="111">
        <f t="shared" si="1"/>
        <v>0</v>
      </c>
      <c r="E83" s="111">
        <f t="shared" si="6"/>
        <v>0</v>
      </c>
      <c r="F83" s="111">
        <f t="shared" ref="F83:F105" si="13">IF(A83&lt;=$F$7,$F$5*VLOOKUP(ROUNDUP(A83/12,0),$O$7:$Q$15,3,0)/12,0)</f>
        <v>0</v>
      </c>
      <c r="G83" s="111">
        <f>IF(A83&lt;=$F$7,$F$5*VLOOKUP(ROUNDUP(A83/12,0),$O$7:$R$15,4,0)/12,0)-F83</f>
        <v>0</v>
      </c>
      <c r="H83" s="111">
        <f t="shared" si="8"/>
        <v>0</v>
      </c>
      <c r="I83" s="111">
        <f t="shared" si="2"/>
        <v>0</v>
      </c>
      <c r="J83" s="111"/>
      <c r="K83" s="111"/>
      <c r="L83" s="111"/>
      <c r="M83" s="116">
        <f t="shared" si="3"/>
        <v>0</v>
      </c>
      <c r="N83" s="111">
        <f t="shared" si="4"/>
        <v>0</v>
      </c>
    </row>
    <row r="84" spans="1:14">
      <c r="A84" s="110">
        <v>63</v>
      </c>
      <c r="B84" s="105">
        <f t="shared" si="5"/>
        <v>45296</v>
      </c>
      <c r="C84" s="111">
        <f t="shared" si="12"/>
        <v>0</v>
      </c>
      <c r="D84" s="111">
        <f t="shared" si="1"/>
        <v>0</v>
      </c>
      <c r="E84" s="111">
        <f t="shared" si="6"/>
        <v>0</v>
      </c>
      <c r="F84" s="111">
        <f t="shared" si="13"/>
        <v>0</v>
      </c>
      <c r="G84" s="111">
        <f>IF(A84&lt;=$F$7,$F$5*VLOOKUP(ROUNDUP(A84/12,0),$O$7:$R$15,4,0)/12,0)-F84</f>
        <v>0</v>
      </c>
      <c r="H84" s="111">
        <f t="shared" si="8"/>
        <v>0</v>
      </c>
      <c r="I84" s="111">
        <f t="shared" si="2"/>
        <v>0</v>
      </c>
      <c r="J84" s="111"/>
      <c r="K84" s="111"/>
      <c r="L84" s="111"/>
      <c r="M84" s="116">
        <f t="shared" si="3"/>
        <v>0</v>
      </c>
      <c r="N84" s="111">
        <f t="shared" si="4"/>
        <v>0</v>
      </c>
    </row>
    <row r="85" spans="1:14">
      <c r="A85" s="110">
        <v>64</v>
      </c>
      <c r="B85" s="105">
        <f t="shared" si="5"/>
        <v>45327</v>
      </c>
      <c r="C85" s="111">
        <f t="shared" si="12"/>
        <v>0</v>
      </c>
      <c r="D85" s="111">
        <f t="shared" si="1"/>
        <v>0</v>
      </c>
      <c r="E85" s="111">
        <f t="shared" si="6"/>
        <v>0</v>
      </c>
      <c r="F85" s="111">
        <f t="shared" si="13"/>
        <v>0</v>
      </c>
      <c r="G85" s="111">
        <f>IF(A85&lt;=$F$7,$F$5*VLOOKUP(ROUNDUP(A85/12,0),$O$7:$R$15,4,0)/12,0)-F85</f>
        <v>0</v>
      </c>
      <c r="H85" s="111">
        <f t="shared" si="8"/>
        <v>0</v>
      </c>
      <c r="I85" s="111">
        <f t="shared" si="2"/>
        <v>0</v>
      </c>
      <c r="J85" s="111"/>
      <c r="K85" s="111"/>
      <c r="L85" s="111"/>
      <c r="M85" s="116">
        <f t="shared" si="3"/>
        <v>0</v>
      </c>
      <c r="N85" s="111">
        <f t="shared" si="4"/>
        <v>0</v>
      </c>
    </row>
    <row r="86" spans="1:14">
      <c r="A86" s="110">
        <v>65</v>
      </c>
      <c r="B86" s="105">
        <f t="shared" si="5"/>
        <v>45356</v>
      </c>
      <c r="C86" s="111">
        <f t="shared" si="12"/>
        <v>0</v>
      </c>
      <c r="D86" s="111">
        <f t="shared" ref="D86:D105" si="14">IF(A86&lt;=$F$7,IF($F$13=$I$9,$F$5*$F$14,N85*$F$15/12),0)+-IF(AND(A86&lt;=$M$9,$M$9&lt;&gt;0),$J$21/$M$9,0)+-IF(AND(A86&lt;=$M$10,$M$10&lt;&gt;0),$K$21/$M$10,0)</f>
        <v>0</v>
      </c>
      <c r="E86" s="111">
        <f t="shared" si="6"/>
        <v>0</v>
      </c>
      <c r="F86" s="111">
        <f t="shared" si="13"/>
        <v>0</v>
      </c>
      <c r="G86" s="111">
        <f>IF(A86&lt;=$F$7,$F$5*VLOOKUP(ROUNDUP(A86/12,0),$O$7:$R$15,4,0)/12,0)-F86</f>
        <v>0</v>
      </c>
      <c r="H86" s="111">
        <f t="shared" si="8"/>
        <v>0</v>
      </c>
      <c r="I86" s="111">
        <f t="shared" ref="I86:I105" si="15">C86*20/120</f>
        <v>0</v>
      </c>
      <c r="J86" s="111"/>
      <c r="K86" s="111"/>
      <c r="L86" s="111"/>
      <c r="M86" s="116">
        <f t="shared" ref="M86:M105" si="16">SUM(C86,D86,G86,J86,K86,L86)</f>
        <v>0</v>
      </c>
      <c r="N86" s="111">
        <f t="shared" ref="N86:N105" si="17">N85-C86</f>
        <v>0</v>
      </c>
    </row>
    <row r="87" spans="1:14">
      <c r="A87" s="110">
        <v>66</v>
      </c>
      <c r="B87" s="105">
        <f t="shared" ref="B87:B105" si="18">EOMONTH(B86,0)+DAY(B86)</f>
        <v>45387</v>
      </c>
      <c r="C87" s="111">
        <f t="shared" si="12"/>
        <v>0</v>
      </c>
      <c r="D87" s="111">
        <f t="shared" si="14"/>
        <v>0</v>
      </c>
      <c r="E87" s="111">
        <f t="shared" ref="E87:E99" si="19">IF($R$18="ЮЛ",D87*0.2,0)</f>
        <v>0</v>
      </c>
      <c r="F87" s="111">
        <f t="shared" si="13"/>
        <v>0</v>
      </c>
      <c r="G87" s="111">
        <f t="shared" ref="G87:G105" si="20">IF(A87&lt;=$F$7,$F$5*VLOOKUP(ROUNDUP(A87/12,0),$O$7:$R$15,4,0)/12,0)-F87</f>
        <v>0</v>
      </c>
      <c r="H87" s="111">
        <f t="shared" ref="H87:H105" si="21">SUM(C87:G87)+SUM(C87:G87)*$F$16</f>
        <v>0</v>
      </c>
      <c r="I87" s="111">
        <f t="shared" si="15"/>
        <v>0</v>
      </c>
      <c r="J87" s="111"/>
      <c r="K87" s="111"/>
      <c r="L87" s="111"/>
      <c r="M87" s="116">
        <f t="shared" si="16"/>
        <v>0</v>
      </c>
      <c r="N87" s="111">
        <f t="shared" si="17"/>
        <v>0</v>
      </c>
    </row>
    <row r="88" spans="1:14">
      <c r="A88" s="110">
        <v>67</v>
      </c>
      <c r="B88" s="105">
        <f t="shared" si="18"/>
        <v>45417</v>
      </c>
      <c r="C88" s="111">
        <f t="shared" si="12"/>
        <v>0</v>
      </c>
      <c r="D88" s="111">
        <f t="shared" si="14"/>
        <v>0</v>
      </c>
      <c r="E88" s="111">
        <f t="shared" si="19"/>
        <v>0</v>
      </c>
      <c r="F88" s="111">
        <f t="shared" si="13"/>
        <v>0</v>
      </c>
      <c r="G88" s="111">
        <f t="shared" si="20"/>
        <v>0</v>
      </c>
      <c r="H88" s="111">
        <f t="shared" si="21"/>
        <v>0</v>
      </c>
      <c r="I88" s="111">
        <f t="shared" si="15"/>
        <v>0</v>
      </c>
      <c r="J88" s="111"/>
      <c r="K88" s="111"/>
      <c r="L88" s="111"/>
      <c r="M88" s="116">
        <f t="shared" si="16"/>
        <v>0</v>
      </c>
      <c r="N88" s="111">
        <f t="shared" si="17"/>
        <v>0</v>
      </c>
    </row>
    <row r="89" spans="1:14">
      <c r="A89" s="110">
        <v>68</v>
      </c>
      <c r="B89" s="105">
        <f t="shared" si="18"/>
        <v>45448</v>
      </c>
      <c r="C89" s="111">
        <f t="shared" si="12"/>
        <v>0</v>
      </c>
      <c r="D89" s="111">
        <f t="shared" si="14"/>
        <v>0</v>
      </c>
      <c r="E89" s="111">
        <f t="shared" si="19"/>
        <v>0</v>
      </c>
      <c r="F89" s="111">
        <f t="shared" si="13"/>
        <v>0</v>
      </c>
      <c r="G89" s="111">
        <f t="shared" si="20"/>
        <v>0</v>
      </c>
      <c r="H89" s="111">
        <f t="shared" si="21"/>
        <v>0</v>
      </c>
      <c r="I89" s="111">
        <f t="shared" si="15"/>
        <v>0</v>
      </c>
      <c r="J89" s="111"/>
      <c r="K89" s="111"/>
      <c r="L89" s="111"/>
      <c r="M89" s="116">
        <f t="shared" si="16"/>
        <v>0</v>
      </c>
      <c r="N89" s="111">
        <f t="shared" si="17"/>
        <v>0</v>
      </c>
    </row>
    <row r="90" spans="1:14">
      <c r="A90" s="110">
        <v>69</v>
      </c>
      <c r="B90" s="105">
        <f t="shared" si="18"/>
        <v>45478</v>
      </c>
      <c r="C90" s="111">
        <f t="shared" si="12"/>
        <v>0</v>
      </c>
      <c r="D90" s="111">
        <f t="shared" si="14"/>
        <v>0</v>
      </c>
      <c r="E90" s="111">
        <f t="shared" si="19"/>
        <v>0</v>
      </c>
      <c r="F90" s="111">
        <f t="shared" si="13"/>
        <v>0</v>
      </c>
      <c r="G90" s="111">
        <f t="shared" si="20"/>
        <v>0</v>
      </c>
      <c r="H90" s="111">
        <f t="shared" si="21"/>
        <v>0</v>
      </c>
      <c r="I90" s="111">
        <f t="shared" si="15"/>
        <v>0</v>
      </c>
      <c r="J90" s="111"/>
      <c r="K90" s="111"/>
      <c r="L90" s="111"/>
      <c r="M90" s="116">
        <f t="shared" si="16"/>
        <v>0</v>
      </c>
      <c r="N90" s="111">
        <f t="shared" si="17"/>
        <v>0</v>
      </c>
    </row>
    <row r="91" spans="1:14">
      <c r="A91" s="110">
        <v>70</v>
      </c>
      <c r="B91" s="105">
        <f t="shared" si="18"/>
        <v>45509</v>
      </c>
      <c r="C91" s="111">
        <f t="shared" si="12"/>
        <v>0</v>
      </c>
      <c r="D91" s="111">
        <f t="shared" si="14"/>
        <v>0</v>
      </c>
      <c r="E91" s="111">
        <f t="shared" si="19"/>
        <v>0</v>
      </c>
      <c r="F91" s="111">
        <f t="shared" si="13"/>
        <v>0</v>
      </c>
      <c r="G91" s="111">
        <f t="shared" si="20"/>
        <v>0</v>
      </c>
      <c r="H91" s="111">
        <f t="shared" si="21"/>
        <v>0</v>
      </c>
      <c r="I91" s="111">
        <f t="shared" si="15"/>
        <v>0</v>
      </c>
      <c r="J91" s="111"/>
      <c r="K91" s="111"/>
      <c r="L91" s="111"/>
      <c r="M91" s="116">
        <f t="shared" si="16"/>
        <v>0</v>
      </c>
      <c r="N91" s="111">
        <f t="shared" si="17"/>
        <v>0</v>
      </c>
    </row>
    <row r="92" spans="1:14">
      <c r="A92" s="110">
        <v>71</v>
      </c>
      <c r="B92" s="105">
        <f t="shared" si="18"/>
        <v>45540</v>
      </c>
      <c r="C92" s="111">
        <f t="shared" si="12"/>
        <v>0</v>
      </c>
      <c r="D92" s="111">
        <f t="shared" si="14"/>
        <v>0</v>
      </c>
      <c r="E92" s="111">
        <f t="shared" si="19"/>
        <v>0</v>
      </c>
      <c r="F92" s="111">
        <f t="shared" si="13"/>
        <v>0</v>
      </c>
      <c r="G92" s="111">
        <f t="shared" si="20"/>
        <v>0</v>
      </c>
      <c r="H92" s="111">
        <f t="shared" si="21"/>
        <v>0</v>
      </c>
      <c r="I92" s="111">
        <f t="shared" si="15"/>
        <v>0</v>
      </c>
      <c r="J92" s="111"/>
      <c r="K92" s="111"/>
      <c r="L92" s="111"/>
      <c r="M92" s="116">
        <f t="shared" si="16"/>
        <v>0</v>
      </c>
      <c r="N92" s="111">
        <f t="shared" si="17"/>
        <v>0</v>
      </c>
    </row>
    <row r="93" spans="1:14">
      <c r="A93" s="110">
        <v>72</v>
      </c>
      <c r="B93" s="105">
        <f t="shared" si="18"/>
        <v>45570</v>
      </c>
      <c r="C93" s="111">
        <f t="shared" si="12"/>
        <v>0</v>
      </c>
      <c r="D93" s="111">
        <f t="shared" si="14"/>
        <v>0</v>
      </c>
      <c r="E93" s="111">
        <f t="shared" si="19"/>
        <v>0</v>
      </c>
      <c r="F93" s="111">
        <f t="shared" si="13"/>
        <v>0</v>
      </c>
      <c r="G93" s="111">
        <f t="shared" si="20"/>
        <v>0</v>
      </c>
      <c r="H93" s="111">
        <f t="shared" si="21"/>
        <v>0</v>
      </c>
      <c r="I93" s="111">
        <f t="shared" si="15"/>
        <v>0</v>
      </c>
      <c r="J93" s="111"/>
      <c r="K93" s="111"/>
      <c r="L93" s="111"/>
      <c r="M93" s="116">
        <f t="shared" si="16"/>
        <v>0</v>
      </c>
      <c r="N93" s="111">
        <f t="shared" si="17"/>
        <v>0</v>
      </c>
    </row>
    <row r="94" spans="1:14">
      <c r="A94" s="110">
        <v>73</v>
      </c>
      <c r="B94" s="105">
        <f t="shared" si="18"/>
        <v>45601</v>
      </c>
      <c r="C94" s="111">
        <f t="shared" si="12"/>
        <v>0</v>
      </c>
      <c r="D94" s="111">
        <f t="shared" si="14"/>
        <v>0</v>
      </c>
      <c r="E94" s="111">
        <f t="shared" si="19"/>
        <v>0</v>
      </c>
      <c r="F94" s="111">
        <f t="shared" si="13"/>
        <v>0</v>
      </c>
      <c r="G94" s="111">
        <f t="shared" si="20"/>
        <v>0</v>
      </c>
      <c r="H94" s="111">
        <f t="shared" si="21"/>
        <v>0</v>
      </c>
      <c r="I94" s="111">
        <f t="shared" si="15"/>
        <v>0</v>
      </c>
      <c r="J94" s="111"/>
      <c r="K94" s="111"/>
      <c r="L94" s="111"/>
      <c r="M94" s="116">
        <f t="shared" si="16"/>
        <v>0</v>
      </c>
      <c r="N94" s="111">
        <f t="shared" si="17"/>
        <v>0</v>
      </c>
    </row>
    <row r="95" spans="1:14">
      <c r="A95" s="110">
        <v>74</v>
      </c>
      <c r="B95" s="105">
        <f t="shared" si="18"/>
        <v>45631</v>
      </c>
      <c r="C95" s="111">
        <f t="shared" si="12"/>
        <v>0</v>
      </c>
      <c r="D95" s="111">
        <f t="shared" si="14"/>
        <v>0</v>
      </c>
      <c r="E95" s="111">
        <f t="shared" si="19"/>
        <v>0</v>
      </c>
      <c r="F95" s="111">
        <f t="shared" si="13"/>
        <v>0</v>
      </c>
      <c r="G95" s="111">
        <f t="shared" si="20"/>
        <v>0</v>
      </c>
      <c r="H95" s="111">
        <f t="shared" si="21"/>
        <v>0</v>
      </c>
      <c r="I95" s="111">
        <f t="shared" si="15"/>
        <v>0</v>
      </c>
      <c r="J95" s="111"/>
      <c r="K95" s="111"/>
      <c r="L95" s="111"/>
      <c r="M95" s="116">
        <f t="shared" si="16"/>
        <v>0</v>
      </c>
      <c r="N95" s="111">
        <f t="shared" si="17"/>
        <v>0</v>
      </c>
    </row>
    <row r="96" spans="1:14">
      <c r="A96" s="110">
        <v>75</v>
      </c>
      <c r="B96" s="105">
        <f t="shared" si="18"/>
        <v>45662</v>
      </c>
      <c r="C96" s="111">
        <f t="shared" si="12"/>
        <v>0</v>
      </c>
      <c r="D96" s="111">
        <f t="shared" si="14"/>
        <v>0</v>
      </c>
      <c r="E96" s="111">
        <f t="shared" si="19"/>
        <v>0</v>
      </c>
      <c r="F96" s="111">
        <f t="shared" si="13"/>
        <v>0</v>
      </c>
      <c r="G96" s="111">
        <f t="shared" si="20"/>
        <v>0</v>
      </c>
      <c r="H96" s="111">
        <f t="shared" si="21"/>
        <v>0</v>
      </c>
      <c r="I96" s="111">
        <f t="shared" si="15"/>
        <v>0</v>
      </c>
      <c r="J96" s="111"/>
      <c r="K96" s="111"/>
      <c r="L96" s="111"/>
      <c r="M96" s="116">
        <f t="shared" si="16"/>
        <v>0</v>
      </c>
      <c r="N96" s="111">
        <f t="shared" si="17"/>
        <v>0</v>
      </c>
    </row>
    <row r="97" spans="1:14">
      <c r="A97" s="110">
        <v>76</v>
      </c>
      <c r="B97" s="105">
        <f t="shared" si="18"/>
        <v>45693</v>
      </c>
      <c r="C97" s="111">
        <f t="shared" si="12"/>
        <v>0</v>
      </c>
      <c r="D97" s="111">
        <f t="shared" si="14"/>
        <v>0</v>
      </c>
      <c r="E97" s="111">
        <f t="shared" si="19"/>
        <v>0</v>
      </c>
      <c r="F97" s="111">
        <f t="shared" si="13"/>
        <v>0</v>
      </c>
      <c r="G97" s="111">
        <f t="shared" si="20"/>
        <v>0</v>
      </c>
      <c r="H97" s="111">
        <f t="shared" si="21"/>
        <v>0</v>
      </c>
      <c r="I97" s="111">
        <f t="shared" si="15"/>
        <v>0</v>
      </c>
      <c r="J97" s="111"/>
      <c r="K97" s="111"/>
      <c r="L97" s="111"/>
      <c r="M97" s="116">
        <f t="shared" si="16"/>
        <v>0</v>
      </c>
      <c r="N97" s="111">
        <f t="shared" si="17"/>
        <v>0</v>
      </c>
    </row>
    <row r="98" spans="1:14">
      <c r="A98" s="110">
        <v>77</v>
      </c>
      <c r="B98" s="105">
        <f t="shared" si="18"/>
        <v>45721</v>
      </c>
      <c r="C98" s="111">
        <f t="shared" si="12"/>
        <v>0</v>
      </c>
      <c r="D98" s="111">
        <f t="shared" si="14"/>
        <v>0</v>
      </c>
      <c r="E98" s="111">
        <f t="shared" si="19"/>
        <v>0</v>
      </c>
      <c r="F98" s="111">
        <f t="shared" si="13"/>
        <v>0</v>
      </c>
      <c r="G98" s="111">
        <f t="shared" si="20"/>
        <v>0</v>
      </c>
      <c r="H98" s="111">
        <f t="shared" si="21"/>
        <v>0</v>
      </c>
      <c r="I98" s="111">
        <f t="shared" si="15"/>
        <v>0</v>
      </c>
      <c r="J98" s="111"/>
      <c r="K98" s="111"/>
      <c r="L98" s="111"/>
      <c r="M98" s="116">
        <f t="shared" si="16"/>
        <v>0</v>
      </c>
      <c r="N98" s="111">
        <f t="shared" si="17"/>
        <v>0</v>
      </c>
    </row>
    <row r="99" spans="1:14">
      <c r="A99" s="110">
        <v>78</v>
      </c>
      <c r="B99" s="105">
        <f t="shared" si="18"/>
        <v>45752</v>
      </c>
      <c r="C99" s="111">
        <f t="shared" si="12"/>
        <v>0</v>
      </c>
      <c r="D99" s="111">
        <f t="shared" si="14"/>
        <v>0</v>
      </c>
      <c r="E99" s="111">
        <f t="shared" si="19"/>
        <v>0</v>
      </c>
      <c r="F99" s="111">
        <f t="shared" si="13"/>
        <v>0</v>
      </c>
      <c r="G99" s="111">
        <f t="shared" si="20"/>
        <v>0</v>
      </c>
      <c r="H99" s="111">
        <f t="shared" si="21"/>
        <v>0</v>
      </c>
      <c r="I99" s="111">
        <f t="shared" si="15"/>
        <v>0</v>
      </c>
      <c r="J99" s="111"/>
      <c r="K99" s="111"/>
      <c r="L99" s="111"/>
      <c r="M99" s="116">
        <f t="shared" si="16"/>
        <v>0</v>
      </c>
      <c r="N99" s="111">
        <f t="shared" si="17"/>
        <v>0</v>
      </c>
    </row>
    <row r="100" spans="1:14">
      <c r="A100" s="110">
        <v>79</v>
      </c>
      <c r="B100" s="105">
        <f t="shared" si="18"/>
        <v>45782</v>
      </c>
      <c r="C100" s="111">
        <f t="shared" si="12"/>
        <v>0</v>
      </c>
      <c r="D100" s="111">
        <f t="shared" si="14"/>
        <v>0</v>
      </c>
      <c r="E100" s="111">
        <f t="shared" ref="E100:E105" si="22">D100*0.2</f>
        <v>0</v>
      </c>
      <c r="F100" s="111">
        <f t="shared" si="13"/>
        <v>0</v>
      </c>
      <c r="G100" s="111">
        <f t="shared" si="20"/>
        <v>0</v>
      </c>
      <c r="H100" s="111">
        <f t="shared" si="21"/>
        <v>0</v>
      </c>
      <c r="I100" s="111">
        <f t="shared" si="15"/>
        <v>0</v>
      </c>
      <c r="J100" s="111"/>
      <c r="K100" s="111"/>
      <c r="L100" s="111"/>
      <c r="M100" s="116">
        <f t="shared" si="16"/>
        <v>0</v>
      </c>
      <c r="N100" s="111">
        <f t="shared" si="17"/>
        <v>0</v>
      </c>
    </row>
    <row r="101" spans="1:14">
      <c r="A101" s="110">
        <v>80</v>
      </c>
      <c r="B101" s="105">
        <f t="shared" si="18"/>
        <v>45813</v>
      </c>
      <c r="C101" s="111">
        <f t="shared" si="12"/>
        <v>0</v>
      </c>
      <c r="D101" s="111">
        <f t="shared" si="14"/>
        <v>0</v>
      </c>
      <c r="E101" s="111">
        <f t="shared" si="22"/>
        <v>0</v>
      </c>
      <c r="F101" s="111">
        <f t="shared" si="13"/>
        <v>0</v>
      </c>
      <c r="G101" s="111">
        <f t="shared" si="20"/>
        <v>0</v>
      </c>
      <c r="H101" s="111">
        <f t="shared" si="21"/>
        <v>0</v>
      </c>
      <c r="I101" s="111">
        <f t="shared" si="15"/>
        <v>0</v>
      </c>
      <c r="J101" s="111"/>
      <c r="K101" s="111"/>
      <c r="L101" s="111"/>
      <c r="M101" s="116">
        <f t="shared" si="16"/>
        <v>0</v>
      </c>
      <c r="N101" s="111">
        <f t="shared" si="17"/>
        <v>0</v>
      </c>
    </row>
    <row r="102" spans="1:14">
      <c r="A102" s="110">
        <v>81</v>
      </c>
      <c r="B102" s="105">
        <f t="shared" si="18"/>
        <v>45843</v>
      </c>
      <c r="C102" s="111">
        <f t="shared" si="12"/>
        <v>0</v>
      </c>
      <c r="D102" s="111">
        <f t="shared" si="14"/>
        <v>0</v>
      </c>
      <c r="E102" s="111">
        <f t="shared" si="22"/>
        <v>0</v>
      </c>
      <c r="F102" s="111">
        <f t="shared" si="13"/>
        <v>0</v>
      </c>
      <c r="G102" s="111">
        <f t="shared" si="20"/>
        <v>0</v>
      </c>
      <c r="H102" s="111">
        <f t="shared" si="21"/>
        <v>0</v>
      </c>
      <c r="I102" s="111">
        <f t="shared" si="15"/>
        <v>0</v>
      </c>
      <c r="J102" s="111"/>
      <c r="K102" s="111"/>
      <c r="L102" s="111"/>
      <c r="M102" s="116">
        <f t="shared" si="16"/>
        <v>0</v>
      </c>
      <c r="N102" s="111">
        <f t="shared" si="17"/>
        <v>0</v>
      </c>
    </row>
    <row r="103" spans="1:14">
      <c r="A103" s="110">
        <v>82</v>
      </c>
      <c r="B103" s="105">
        <f t="shared" si="18"/>
        <v>45874</v>
      </c>
      <c r="C103" s="111">
        <f t="shared" si="12"/>
        <v>0</v>
      </c>
      <c r="D103" s="111">
        <f t="shared" si="14"/>
        <v>0</v>
      </c>
      <c r="E103" s="111">
        <f t="shared" si="22"/>
        <v>0</v>
      </c>
      <c r="F103" s="111">
        <f t="shared" si="13"/>
        <v>0</v>
      </c>
      <c r="G103" s="111">
        <f t="shared" si="20"/>
        <v>0</v>
      </c>
      <c r="H103" s="111">
        <f t="shared" si="21"/>
        <v>0</v>
      </c>
      <c r="I103" s="111">
        <f t="shared" si="15"/>
        <v>0</v>
      </c>
      <c r="J103" s="111"/>
      <c r="K103" s="111"/>
      <c r="L103" s="111"/>
      <c r="M103" s="116">
        <f t="shared" si="16"/>
        <v>0</v>
      </c>
      <c r="N103" s="111">
        <f t="shared" si="17"/>
        <v>0</v>
      </c>
    </row>
    <row r="104" spans="1:14">
      <c r="A104" s="110">
        <v>83</v>
      </c>
      <c r="B104" s="105">
        <f t="shared" si="18"/>
        <v>45905</v>
      </c>
      <c r="C104" s="111">
        <f t="shared" si="12"/>
        <v>0</v>
      </c>
      <c r="D104" s="111">
        <f t="shared" si="14"/>
        <v>0</v>
      </c>
      <c r="E104" s="111">
        <f t="shared" si="22"/>
        <v>0</v>
      </c>
      <c r="F104" s="111">
        <f t="shared" si="13"/>
        <v>0</v>
      </c>
      <c r="G104" s="111">
        <f t="shared" si="20"/>
        <v>0</v>
      </c>
      <c r="H104" s="111">
        <f t="shared" si="21"/>
        <v>0</v>
      </c>
      <c r="I104" s="111">
        <f t="shared" si="15"/>
        <v>0</v>
      </c>
      <c r="J104" s="111"/>
      <c r="K104" s="111"/>
      <c r="L104" s="111"/>
      <c r="M104" s="116">
        <f t="shared" si="16"/>
        <v>0</v>
      </c>
      <c r="N104" s="111">
        <f t="shared" si="17"/>
        <v>0</v>
      </c>
    </row>
    <row r="105" spans="1:14">
      <c r="A105" s="110">
        <v>84</v>
      </c>
      <c r="B105" s="105">
        <f t="shared" si="18"/>
        <v>45935</v>
      </c>
      <c r="C105" s="111">
        <f t="shared" si="12"/>
        <v>0</v>
      </c>
      <c r="D105" s="111">
        <f t="shared" si="14"/>
        <v>0</v>
      </c>
      <c r="E105" s="111">
        <f t="shared" si="22"/>
        <v>0</v>
      </c>
      <c r="F105" s="111">
        <f t="shared" si="13"/>
        <v>0</v>
      </c>
      <c r="G105" s="111">
        <f t="shared" si="20"/>
        <v>0</v>
      </c>
      <c r="H105" s="111">
        <f t="shared" si="21"/>
        <v>0</v>
      </c>
      <c r="I105" s="111">
        <f t="shared" si="15"/>
        <v>0</v>
      </c>
      <c r="J105" s="111"/>
      <c r="K105" s="111"/>
      <c r="L105" s="111"/>
      <c r="M105" s="116">
        <f t="shared" si="16"/>
        <v>0</v>
      </c>
      <c r="N105" s="111">
        <f t="shared" si="17"/>
        <v>0</v>
      </c>
    </row>
    <row r="107" spans="1:14">
      <c r="B107" s="117"/>
    </row>
    <row r="108" spans="1:14">
      <c r="B108" s="111"/>
    </row>
  </sheetData>
  <conditionalFormatting sqref="C19">
    <cfRule type="cellIs" dxfId="27" priority="10" operator="greaterThan">
      <formula>0</formula>
    </cfRule>
    <cfRule type="cellIs" dxfId="26" priority="11" operator="equal">
      <formula>0</formula>
    </cfRule>
    <cfRule type="cellIs" dxfId="25" priority="9" operator="lessThan">
      <formula>0</formula>
    </cfRule>
  </conditionalFormatting>
  <conditionalFormatting sqref="F17">
    <cfRule type="cellIs" dxfId="24" priority="2" operator="greaterThan">
      <formula>0.18</formula>
    </cfRule>
    <cfRule type="cellIs" dxfId="23" priority="1" operator="lessThan">
      <formula>0.1</formula>
    </cfRule>
  </conditionalFormatting>
  <conditionalFormatting sqref="I19">
    <cfRule type="cellIs" dxfId="22" priority="8" operator="equal">
      <formula>0</formula>
    </cfRule>
    <cfRule type="cellIs" dxfId="21" priority="7" operator="greaterThan">
      <formula>0</formula>
    </cfRule>
    <cfRule type="cellIs" dxfId="20" priority="6" operator="lessThan">
      <formula>0</formula>
    </cfRule>
  </conditionalFormatting>
  <conditionalFormatting sqref="B19">
    <cfRule type="cellIs" dxfId="19" priority="4" operator="greaterThan">
      <formula>0</formula>
    </cfRule>
    <cfRule type="cellIs" dxfId="18" priority="5" operator="equal">
      <formula>0</formula>
    </cfRule>
    <cfRule type="cellIs" dxfId="17" priority="3" operator="lessThan">
      <formula>0</formula>
    </cfRule>
  </conditionalFormatting>
  <dataValidations count="2">
    <dataValidation type="list" allowBlank="1" showInputMessage="1" showErrorMessage="1" sqref="F13" xr:uid="{00000000-0002-0000-0A00-000000000000}">
      <formula1>$I$9:$I$10</formula1>
    </dataValidation>
    <dataValidation type="list" allowBlank="1" showInputMessage="1" showErrorMessage="1" sqref="F9" xr:uid="{00000000-0002-0000-0A00-000001000000}">
      <formula1>$I$6:$I$7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8"/>
  <sheetViews>
    <sheetView zoomScale="86" workbookViewId="0">
      <selection activeCell="F5" sqref="F5"/>
    </sheetView>
  </sheetViews>
  <sheetFormatPr defaultColWidth="9.140625" defaultRowHeight="15"/>
  <cols>
    <col min="1" max="5" width="9.140625" style="66"/>
    <col min="6" max="6" width="10.140625" style="66" bestFit="1" customWidth="1"/>
    <col min="7" max="19" width="9.140625" style="66"/>
    <col min="20" max="20" width="14.42578125" style="66" customWidth="1"/>
    <col min="21" max="16384" width="9.140625" style="66"/>
  </cols>
  <sheetData>
    <row r="1" spans="1:18" ht="18.75">
      <c r="A1" s="99" t="s">
        <v>65</v>
      </c>
      <c r="F1" s="100"/>
      <c r="R1" s="66" t="s">
        <v>115</v>
      </c>
    </row>
    <row r="2" spans="1:18" ht="18.75">
      <c r="A2" s="99" t="s">
        <v>66</v>
      </c>
      <c r="F2" s="101" t="s">
        <v>67</v>
      </c>
      <c r="R2" s="66" t="s">
        <v>116</v>
      </c>
    </row>
    <row r="5" spans="1:18">
      <c r="A5" s="102" t="s">
        <v>68</v>
      </c>
      <c r="F5" s="103">
        <f>'Калькулятор 12-48 мес'!K11</f>
        <v>1000</v>
      </c>
      <c r="H5" s="102"/>
      <c r="I5" s="102"/>
      <c r="J5" s="102"/>
      <c r="K5" s="102" t="s">
        <v>69</v>
      </c>
    </row>
    <row r="6" spans="1:18">
      <c r="A6" s="102" t="s">
        <v>70</v>
      </c>
      <c r="F6" s="104">
        <f>'Калькулятор 12-48 мес'!K14</f>
        <v>0</v>
      </c>
      <c r="G6" s="103">
        <f>F5*F6</f>
        <v>0</v>
      </c>
      <c r="I6" s="66" t="s">
        <v>71</v>
      </c>
      <c r="K6" s="105">
        <v>44927</v>
      </c>
      <c r="O6" s="102" t="s">
        <v>72</v>
      </c>
      <c r="P6" s="102"/>
      <c r="Q6" s="102" t="s">
        <v>73</v>
      </c>
      <c r="R6" s="102" t="s">
        <v>74</v>
      </c>
    </row>
    <row r="7" spans="1:18">
      <c r="A7" s="102" t="s">
        <v>75</v>
      </c>
      <c r="F7" s="103">
        <v>48</v>
      </c>
      <c r="I7" s="66" t="s">
        <v>76</v>
      </c>
      <c r="O7" s="66">
        <v>1</v>
      </c>
      <c r="P7" s="66" t="s">
        <v>77</v>
      </c>
      <c r="Q7" s="106">
        <v>2.0199999999999999E-2</v>
      </c>
      <c r="R7" s="106">
        <f>2.02%*1.22</f>
        <v>2.4643999999999999E-2</v>
      </c>
    </row>
    <row r="8" spans="1:18">
      <c r="A8" s="102" t="s">
        <v>78</v>
      </c>
      <c r="F8" s="107">
        <v>0</v>
      </c>
      <c r="L8" s="66" t="s">
        <v>79</v>
      </c>
      <c r="M8" s="66" t="s">
        <v>80</v>
      </c>
      <c r="O8" s="66">
        <v>2</v>
      </c>
      <c r="P8" s="66" t="s">
        <v>81</v>
      </c>
      <c r="Q8" s="107">
        <f>2.07%*0.8</f>
        <v>1.6560000000000002E-2</v>
      </c>
      <c r="R8" s="107">
        <f>2.07%*0.8*1.22</f>
        <v>2.0203200000000001E-2</v>
      </c>
    </row>
    <row r="9" spans="1:18">
      <c r="A9" s="102" t="s">
        <v>82</v>
      </c>
      <c r="F9" s="103" t="s">
        <v>76</v>
      </c>
      <c r="I9" s="66" t="s">
        <v>83</v>
      </c>
      <c r="K9" s="66" t="s">
        <v>84</v>
      </c>
      <c r="L9" s="107"/>
      <c r="M9" s="103">
        <v>1</v>
      </c>
      <c r="O9" s="66">
        <v>3</v>
      </c>
      <c r="P9" s="66" t="s">
        <v>85</v>
      </c>
      <c r="Q9" s="107">
        <f>2.33%*0.7</f>
        <v>1.6310000000000002E-2</v>
      </c>
      <c r="R9" s="107">
        <f>2.33%*0.7*1.22</f>
        <v>1.9898200000000001E-2</v>
      </c>
    </row>
    <row r="10" spans="1:18">
      <c r="A10" s="102" t="s">
        <v>86</v>
      </c>
      <c r="F10" s="108">
        <v>1.55</v>
      </c>
      <c r="I10" s="66" t="s">
        <v>87</v>
      </c>
      <c r="K10" s="66" t="s">
        <v>88</v>
      </c>
      <c r="L10" s="107">
        <v>0</v>
      </c>
      <c r="M10" s="103">
        <v>0</v>
      </c>
      <c r="O10" s="66">
        <v>4</v>
      </c>
      <c r="P10" s="66" t="s">
        <v>89</v>
      </c>
      <c r="Q10" s="107">
        <f>2.76%*0.6</f>
        <v>1.6559999999999998E-2</v>
      </c>
      <c r="R10" s="107">
        <f>2.76%*0.6*1.22</f>
        <v>2.0203199999999998E-2</v>
      </c>
    </row>
    <row r="11" spans="1:18">
      <c r="A11" s="102"/>
      <c r="F11" s="108">
        <v>1.35</v>
      </c>
      <c r="L11" s="107"/>
      <c r="M11" s="103"/>
      <c r="Q11" s="107"/>
    </row>
    <row r="12" spans="1:18">
      <c r="A12" s="102"/>
      <c r="F12" s="108">
        <v>1.3</v>
      </c>
      <c r="L12" s="107"/>
      <c r="M12" s="103"/>
      <c r="Q12" s="107"/>
    </row>
    <row r="13" spans="1:18">
      <c r="A13" s="102" t="s">
        <v>90</v>
      </c>
      <c r="F13" s="103" t="s">
        <v>87</v>
      </c>
      <c r="O13" s="66">
        <v>5</v>
      </c>
      <c r="P13" s="66" t="s">
        <v>91</v>
      </c>
      <c r="Q13" s="107">
        <f>3.03%*0.5</f>
        <v>1.5149999999999999E-2</v>
      </c>
      <c r="R13" s="107">
        <f>3.03%*0.5*1.22</f>
        <v>1.8482999999999999E-2</v>
      </c>
    </row>
    <row r="14" spans="1:18">
      <c r="A14" s="102" t="s">
        <v>92</v>
      </c>
      <c r="F14" s="107">
        <v>0</v>
      </c>
      <c r="G14" s="107"/>
      <c r="I14" s="66" t="s">
        <v>93</v>
      </c>
      <c r="K14" s="102" t="s">
        <v>94</v>
      </c>
      <c r="O14" s="66">
        <v>6</v>
      </c>
      <c r="P14" s="66" t="s">
        <v>95</v>
      </c>
      <c r="Q14" s="106">
        <f>Q13</f>
        <v>1.5149999999999999E-2</v>
      </c>
      <c r="R14" s="106">
        <f>Q14</f>
        <v>1.5149999999999999E-2</v>
      </c>
    </row>
    <row r="15" spans="1:18">
      <c r="A15" s="102" t="s">
        <v>96</v>
      </c>
      <c r="F15" s="109">
        <v>0.49</v>
      </c>
      <c r="G15" s="107"/>
      <c r="I15" s="66" t="s">
        <v>2</v>
      </c>
      <c r="K15" s="107">
        <v>0</v>
      </c>
      <c r="O15" s="66">
        <v>7</v>
      </c>
      <c r="P15" s="66" t="s">
        <v>97</v>
      </c>
      <c r="Q15" s="106">
        <f>Q14</f>
        <v>1.5149999999999999E-2</v>
      </c>
      <c r="R15" s="106">
        <f>R14</f>
        <v>1.5149999999999999E-2</v>
      </c>
    </row>
    <row r="16" spans="1:18">
      <c r="A16" s="102" t="s">
        <v>98</v>
      </c>
      <c r="F16" s="107">
        <v>0</v>
      </c>
      <c r="G16" s="107"/>
    </row>
    <row r="17" spans="1:20">
      <c r="A17" s="102" t="s">
        <v>99</v>
      </c>
      <c r="F17" s="107">
        <f>XIRR(M21:M105,B21:B105)</f>
        <v>0.61584663987159738</v>
      </c>
    </row>
    <row r="18" spans="1:20">
      <c r="O18" s="106"/>
      <c r="P18" s="106"/>
      <c r="R18" s="66" t="str">
        <f>'Калькулятор 12-48 мес'!K12</f>
        <v>ФЛ</v>
      </c>
      <c r="S18" s="66" t="s">
        <v>100</v>
      </c>
    </row>
    <row r="19" spans="1:20">
      <c r="A19" s="110">
        <f>LARGE(A21:A1048576,1)</f>
        <v>84</v>
      </c>
      <c r="B19" s="110">
        <f>IF(A19&lt;F7,"протяните формулы",0)</f>
        <v>0</v>
      </c>
      <c r="C19" s="110">
        <f>SUM(C21:C105)</f>
        <v>-9.2370555648813024E-13</v>
      </c>
      <c r="D19" s="110">
        <f t="shared" ref="D19:M19" si="0">SUM(D21:D105)</f>
        <v>1296.3041068798987</v>
      </c>
      <c r="E19" s="110">
        <f t="shared" si="0"/>
        <v>0</v>
      </c>
      <c r="F19" s="110">
        <f t="shared" si="0"/>
        <v>0</v>
      </c>
      <c r="G19" s="110">
        <f t="shared" si="0"/>
        <v>0</v>
      </c>
      <c r="H19" s="110">
        <f t="shared" si="0"/>
        <v>1296.3041068798989</v>
      </c>
      <c r="I19" s="111"/>
      <c r="J19" s="110">
        <f t="shared" si="0"/>
        <v>0</v>
      </c>
      <c r="K19" s="110">
        <f t="shared" si="0"/>
        <v>0</v>
      </c>
      <c r="L19" s="110">
        <f t="shared" si="0"/>
        <v>0</v>
      </c>
      <c r="M19" s="110">
        <f t="shared" si="0"/>
        <v>1296.3041068798989</v>
      </c>
      <c r="O19" s="112"/>
      <c r="P19" s="112"/>
    </row>
    <row r="20" spans="1:20" ht="76.5">
      <c r="A20" s="113" t="s">
        <v>101</v>
      </c>
      <c r="B20" s="113" t="s">
        <v>102</v>
      </c>
      <c r="C20" s="113" t="s">
        <v>103</v>
      </c>
      <c r="D20" s="113" t="s">
        <v>104</v>
      </c>
      <c r="E20" s="113" t="s">
        <v>105</v>
      </c>
      <c r="F20" s="113" t="s">
        <v>106</v>
      </c>
      <c r="G20" s="113" t="s">
        <v>107</v>
      </c>
      <c r="H20" s="113" t="s">
        <v>108</v>
      </c>
      <c r="I20" s="85" t="s">
        <v>109</v>
      </c>
      <c r="J20" s="113" t="s">
        <v>84</v>
      </c>
      <c r="K20" s="113" t="s">
        <v>110</v>
      </c>
      <c r="L20" s="113" t="s">
        <v>111</v>
      </c>
      <c r="M20" s="113" t="s">
        <v>112</v>
      </c>
      <c r="N20" s="113" t="s">
        <v>113</v>
      </c>
      <c r="O20" s="106"/>
      <c r="P20" s="106"/>
      <c r="Q20" s="114"/>
      <c r="R20" s="114"/>
      <c r="S20" s="114"/>
      <c r="T20" s="66" t="s">
        <v>117</v>
      </c>
    </row>
    <row r="21" spans="1:20">
      <c r="A21" s="115">
        <v>0</v>
      </c>
      <c r="B21" s="115" t="s">
        <v>114</v>
      </c>
      <c r="C21" s="110">
        <f>IF(F6&gt;=40%,-(F5*60%),-(F5*(1-F6)))</f>
        <v>-1000</v>
      </c>
      <c r="D21" s="111"/>
      <c r="E21" s="111"/>
      <c r="H21" s="110">
        <f>SUM(C21:G21)</f>
        <v>-1000</v>
      </c>
      <c r="I21" s="111">
        <f>C21*20/120</f>
        <v>-166.66666666666666</v>
      </c>
      <c r="J21" s="110">
        <f>-F5*L9</f>
        <v>0</v>
      </c>
      <c r="K21" s="110">
        <f>-F5*L10</f>
        <v>0</v>
      </c>
      <c r="L21" s="66">
        <f>F5*F8</f>
        <v>0</v>
      </c>
      <c r="M21" s="103">
        <f>SUM(C21,D21,G21,J21,K21,L21)</f>
        <v>-1000</v>
      </c>
      <c r="N21" s="110">
        <f>-C21</f>
        <v>1000</v>
      </c>
      <c r="O21" s="106"/>
      <c r="P21" s="106"/>
    </row>
    <row r="22" spans="1:20">
      <c r="A22" s="110">
        <f>A21+1</f>
        <v>1</v>
      </c>
      <c r="B22" s="105">
        <f>EOMONTH(B21,0)+DAY(B21)</f>
        <v>43409</v>
      </c>
      <c r="C22" s="110">
        <f>T22-D22-E22</f>
        <v>7.0063355599978721</v>
      </c>
      <c r="D22" s="111">
        <f t="shared" ref="D22:D85" si="1">IF(A22&lt;=$F$7,IF($F$13=$I$9,$F$5*$F$14,N21*$F$15/12),0)+-IF(AND(A22&lt;=$M$9,$M$9&lt;&gt;0),$J$21/$M$9,0)+-IF(AND(A22&lt;=$M$10,$M$10&lt;&gt;0),$K$21/$M$10,0)</f>
        <v>40.833333333333336</v>
      </c>
      <c r="E22" s="111">
        <f>IF($R$18="ЮЛ",D22*0.2,0)</f>
        <v>0</v>
      </c>
      <c r="F22" s="111">
        <f>IF(AND(A22&lt;=$F$7,$S$18="ДА"),($F$5*VLOOKUP(ROUNDUP(A22/12,0),$O$7:$Q$15,3,0)/12),0)</f>
        <v>0</v>
      </c>
      <c r="G22" s="111">
        <v>0</v>
      </c>
      <c r="H22" s="110">
        <f>SUM(C22:G22)+SUM(C22:G22)*$F$16</f>
        <v>47.839668893331208</v>
      </c>
      <c r="I22" s="111">
        <f t="shared" ref="I22:I85" si="2">C22*20/120</f>
        <v>1.1677225933329787</v>
      </c>
      <c r="J22" s="110"/>
      <c r="K22" s="110"/>
      <c r="M22" s="103">
        <f t="shared" ref="M22:M85" si="3">SUM(C22,D22,G22,J22,K22,L22)</f>
        <v>47.839668893331208</v>
      </c>
      <c r="N22" s="110">
        <f t="shared" ref="N22:N85" si="4">N21-C22</f>
        <v>992.99366444000214</v>
      </c>
      <c r="O22" s="106"/>
      <c r="P22" s="106"/>
      <c r="T22" s="118">
        <f>IF($R$18=$R$1,PMT($F$15/12,$F$7,-($F$5-$G$6),$F$5*$K$15,0)+$F$5*$L$9/$M$9,PMT($F$15/12*1.2,$F$7,-($F$5-$G$6),$F$5*$K$15,0)+$F$5*$L$9/$M$9)</f>
        <v>47.839668893331208</v>
      </c>
    </row>
    <row r="23" spans="1:20">
      <c r="A23" s="110">
        <v>2</v>
      </c>
      <c r="B23" s="105">
        <f t="shared" ref="B23:B86" si="5">EOMONTH(B22,0)+DAY(B22)</f>
        <v>43439</v>
      </c>
      <c r="C23" s="110">
        <f t="shared" ref="C23:C80" si="6">T23-D23-E23</f>
        <v>7.2924275953644511</v>
      </c>
      <c r="D23" s="111">
        <f t="shared" si="1"/>
        <v>40.547241297966757</v>
      </c>
      <c r="E23" s="111">
        <f t="shared" ref="E23:E86" si="7">IF($R$18="ЮЛ",D23*0.2,0)</f>
        <v>0</v>
      </c>
      <c r="F23" s="111">
        <f t="shared" ref="F23:F82" si="8">IF(AND(A23&lt;=$F$7,$S$18="ДА"),($F$5*VLOOKUP(ROUNDUP(A23/12,0),$O$7:$Q$15,3,0)/12),0)</f>
        <v>0</v>
      </c>
      <c r="G23" s="111">
        <v>0</v>
      </c>
      <c r="H23" s="110">
        <f t="shared" ref="H23:H86" si="9">SUM(C23:G23)+SUM(C23:G23)*$F$16</f>
        <v>47.839668893331208</v>
      </c>
      <c r="I23" s="111">
        <f t="shared" si="2"/>
        <v>1.2154045992274085</v>
      </c>
      <c r="J23" s="110"/>
      <c r="K23" s="110"/>
      <c r="M23" s="103">
        <f t="shared" si="3"/>
        <v>47.839668893331208</v>
      </c>
      <c r="N23" s="110">
        <f t="shared" si="4"/>
        <v>985.70123684463772</v>
      </c>
      <c r="O23" s="106"/>
      <c r="P23" s="106"/>
      <c r="T23" s="118">
        <f t="shared" ref="T23:T69" si="10">IF($R$18=$R$1,PMT($F$15/12,$F$7,-($F$5-$G$6),$F$5*$K$15,0)+$F$5*$L$9/$M$9,PMT($F$15/12*1.2,$F$7,-($F$5-$G$6),$F$5*$K$15,0)+$F$5*$L$9/$M$9)</f>
        <v>47.839668893331208</v>
      </c>
    </row>
    <row r="24" spans="1:20">
      <c r="A24" s="110">
        <v>3</v>
      </c>
      <c r="B24" s="105">
        <f t="shared" si="5"/>
        <v>43470</v>
      </c>
      <c r="C24" s="110">
        <f t="shared" si="6"/>
        <v>7.5902017221751663</v>
      </c>
      <c r="D24" s="111">
        <f t="shared" si="1"/>
        <v>40.249467171156041</v>
      </c>
      <c r="E24" s="111">
        <f t="shared" si="7"/>
        <v>0</v>
      </c>
      <c r="F24" s="111">
        <f t="shared" si="8"/>
        <v>0</v>
      </c>
      <c r="G24" s="111">
        <v>0</v>
      </c>
      <c r="H24" s="110">
        <f t="shared" si="9"/>
        <v>47.839668893331208</v>
      </c>
      <c r="I24" s="111">
        <f t="shared" si="2"/>
        <v>1.2650336203625276</v>
      </c>
      <c r="J24" s="110"/>
      <c r="K24" s="110"/>
      <c r="M24" s="103">
        <f t="shared" si="3"/>
        <v>47.839668893331208</v>
      </c>
      <c r="N24" s="110">
        <f t="shared" si="4"/>
        <v>978.11103512246257</v>
      </c>
      <c r="O24" s="106"/>
      <c r="P24" s="106"/>
      <c r="T24" s="118">
        <f t="shared" si="10"/>
        <v>47.839668893331208</v>
      </c>
    </row>
    <row r="25" spans="1:20">
      <c r="A25" s="110">
        <v>4</v>
      </c>
      <c r="B25" s="105">
        <f t="shared" si="5"/>
        <v>43501</v>
      </c>
      <c r="C25" s="110">
        <f t="shared" si="6"/>
        <v>7.9001349591639851</v>
      </c>
      <c r="D25" s="111">
        <f t="shared" si="1"/>
        <v>39.939533934167223</v>
      </c>
      <c r="E25" s="111">
        <f t="shared" si="7"/>
        <v>0</v>
      </c>
      <c r="F25" s="111">
        <f t="shared" si="8"/>
        <v>0</v>
      </c>
      <c r="G25" s="111">
        <v>0</v>
      </c>
      <c r="H25" s="110">
        <f t="shared" si="9"/>
        <v>47.839668893331208</v>
      </c>
      <c r="I25" s="111">
        <f t="shared" si="2"/>
        <v>1.3166891598606643</v>
      </c>
      <c r="J25" s="110"/>
      <c r="K25" s="110"/>
      <c r="M25" s="103">
        <f t="shared" si="3"/>
        <v>47.839668893331208</v>
      </c>
      <c r="N25" s="110">
        <f t="shared" si="4"/>
        <v>970.21090016329856</v>
      </c>
      <c r="O25" s="106"/>
      <c r="P25" s="106"/>
      <c r="T25" s="118">
        <f t="shared" si="10"/>
        <v>47.839668893331208</v>
      </c>
    </row>
    <row r="26" spans="1:20">
      <c r="A26" s="110">
        <v>5</v>
      </c>
      <c r="B26" s="105">
        <f t="shared" si="5"/>
        <v>43529</v>
      </c>
      <c r="C26" s="110">
        <f t="shared" si="6"/>
        <v>8.2227238033298491</v>
      </c>
      <c r="D26" s="111">
        <f t="shared" si="1"/>
        <v>39.616945090001359</v>
      </c>
      <c r="E26" s="111">
        <f t="shared" si="7"/>
        <v>0</v>
      </c>
      <c r="F26" s="111">
        <f t="shared" si="8"/>
        <v>0</v>
      </c>
      <c r="G26" s="111">
        <v>0</v>
      </c>
      <c r="H26" s="110">
        <f t="shared" si="9"/>
        <v>47.839668893331208</v>
      </c>
      <c r="I26" s="111">
        <f t="shared" si="2"/>
        <v>1.3704539672216416</v>
      </c>
      <c r="J26" s="110"/>
      <c r="K26" s="110"/>
      <c r="M26" s="103">
        <f t="shared" si="3"/>
        <v>47.839668893331208</v>
      </c>
      <c r="N26" s="110">
        <f t="shared" si="4"/>
        <v>961.98817635996875</v>
      </c>
      <c r="T26" s="118">
        <f t="shared" si="10"/>
        <v>47.839668893331208</v>
      </c>
    </row>
    <row r="27" spans="1:20">
      <c r="A27" s="110">
        <v>6</v>
      </c>
      <c r="B27" s="105">
        <f t="shared" si="5"/>
        <v>43560</v>
      </c>
      <c r="C27" s="110">
        <f t="shared" si="6"/>
        <v>8.5584850252991558</v>
      </c>
      <c r="D27" s="111">
        <f t="shared" si="1"/>
        <v>39.281183868032052</v>
      </c>
      <c r="E27" s="111">
        <f t="shared" si="7"/>
        <v>0</v>
      </c>
      <c r="F27" s="111">
        <f t="shared" si="8"/>
        <v>0</v>
      </c>
      <c r="G27" s="111">
        <v>0</v>
      </c>
      <c r="H27" s="110">
        <f t="shared" si="9"/>
        <v>47.839668893331208</v>
      </c>
      <c r="I27" s="111">
        <f t="shared" si="2"/>
        <v>1.4264141708831926</v>
      </c>
      <c r="J27" s="110"/>
      <c r="K27" s="110"/>
      <c r="M27" s="103">
        <f t="shared" si="3"/>
        <v>47.839668893331208</v>
      </c>
      <c r="N27" s="110">
        <f t="shared" si="4"/>
        <v>953.42969133466954</v>
      </c>
      <c r="T27" s="118">
        <f t="shared" si="10"/>
        <v>47.839668893331208</v>
      </c>
    </row>
    <row r="28" spans="1:20">
      <c r="A28" s="110">
        <v>7</v>
      </c>
      <c r="B28" s="105">
        <f t="shared" si="5"/>
        <v>43590</v>
      </c>
      <c r="C28" s="110">
        <f t="shared" si="6"/>
        <v>8.9079564971655358</v>
      </c>
      <c r="D28" s="111">
        <f t="shared" si="1"/>
        <v>38.931712396165672</v>
      </c>
      <c r="E28" s="111">
        <f t="shared" si="7"/>
        <v>0</v>
      </c>
      <c r="F28" s="111">
        <f t="shared" si="8"/>
        <v>0</v>
      </c>
      <c r="G28" s="111">
        <v>0</v>
      </c>
      <c r="H28" s="110">
        <f t="shared" si="9"/>
        <v>47.839668893331208</v>
      </c>
      <c r="I28" s="111">
        <f t="shared" si="2"/>
        <v>1.4846594161942559</v>
      </c>
      <c r="J28" s="110"/>
      <c r="K28" s="110"/>
      <c r="M28" s="103">
        <f t="shared" si="3"/>
        <v>47.839668893331208</v>
      </c>
      <c r="N28" s="110">
        <f t="shared" si="4"/>
        <v>944.52173483750403</v>
      </c>
      <c r="T28" s="118">
        <f t="shared" si="10"/>
        <v>47.839668893331208</v>
      </c>
    </row>
    <row r="29" spans="1:20">
      <c r="A29" s="110">
        <v>8</v>
      </c>
      <c r="B29" s="105">
        <f t="shared" si="5"/>
        <v>43621</v>
      </c>
      <c r="C29" s="110">
        <f t="shared" si="6"/>
        <v>9.2716980541331253</v>
      </c>
      <c r="D29" s="111">
        <f t="shared" si="1"/>
        <v>38.567970839198082</v>
      </c>
      <c r="E29" s="111">
        <f t="shared" si="7"/>
        <v>0</v>
      </c>
      <c r="F29" s="111">
        <f t="shared" si="8"/>
        <v>0</v>
      </c>
      <c r="G29" s="111">
        <v>0</v>
      </c>
      <c r="H29" s="110">
        <f t="shared" si="9"/>
        <v>47.839668893331208</v>
      </c>
      <c r="I29" s="111">
        <f t="shared" si="2"/>
        <v>1.5452830090221876</v>
      </c>
      <c r="J29" s="110"/>
      <c r="K29" s="110"/>
      <c r="M29" s="103">
        <f t="shared" si="3"/>
        <v>47.839668893331208</v>
      </c>
      <c r="N29" s="110">
        <f t="shared" si="4"/>
        <v>935.25003678337089</v>
      </c>
      <c r="T29" s="118">
        <f t="shared" si="10"/>
        <v>47.839668893331208</v>
      </c>
    </row>
    <row r="30" spans="1:20">
      <c r="A30" s="110">
        <v>9</v>
      </c>
      <c r="B30" s="105">
        <f t="shared" si="5"/>
        <v>43651</v>
      </c>
      <c r="C30" s="110">
        <f t="shared" si="6"/>
        <v>9.6502923913435623</v>
      </c>
      <c r="D30" s="111">
        <f t="shared" si="1"/>
        <v>38.189376501987645</v>
      </c>
      <c r="E30" s="111">
        <f t="shared" si="7"/>
        <v>0</v>
      </c>
      <c r="F30" s="111">
        <f t="shared" si="8"/>
        <v>0</v>
      </c>
      <c r="G30" s="111">
        <v>0</v>
      </c>
      <c r="H30" s="110">
        <f t="shared" si="9"/>
        <v>47.839668893331208</v>
      </c>
      <c r="I30" s="111">
        <f t="shared" si="2"/>
        <v>1.6083820652239271</v>
      </c>
      <c r="J30" s="110"/>
      <c r="K30" s="110"/>
      <c r="M30" s="103">
        <f t="shared" si="3"/>
        <v>47.839668893331208</v>
      </c>
      <c r="N30" s="110">
        <f t="shared" si="4"/>
        <v>925.59974439202733</v>
      </c>
      <c r="T30" s="118">
        <f t="shared" si="10"/>
        <v>47.839668893331208</v>
      </c>
    </row>
    <row r="31" spans="1:20">
      <c r="A31" s="110">
        <v>10</v>
      </c>
      <c r="B31" s="105">
        <f t="shared" si="5"/>
        <v>43682</v>
      </c>
      <c r="C31" s="110">
        <f t="shared" si="6"/>
        <v>10.044345997323425</v>
      </c>
      <c r="D31" s="111">
        <f t="shared" si="1"/>
        <v>37.795322896007782</v>
      </c>
      <c r="E31" s="111">
        <f t="shared" si="7"/>
        <v>0</v>
      </c>
      <c r="F31" s="111">
        <f t="shared" si="8"/>
        <v>0</v>
      </c>
      <c r="G31" s="111">
        <v>0</v>
      </c>
      <c r="H31" s="110">
        <f t="shared" si="9"/>
        <v>47.839668893331208</v>
      </c>
      <c r="I31" s="111">
        <f t="shared" si="2"/>
        <v>1.6740576662205708</v>
      </c>
      <c r="J31" s="110"/>
      <c r="K31" s="110"/>
      <c r="M31" s="103">
        <f t="shared" si="3"/>
        <v>47.839668893331208</v>
      </c>
      <c r="N31" s="110">
        <f t="shared" si="4"/>
        <v>915.55539839470396</v>
      </c>
      <c r="T31" s="118">
        <f t="shared" si="10"/>
        <v>47.839668893331208</v>
      </c>
    </row>
    <row r="32" spans="1:20">
      <c r="A32" s="110">
        <v>11</v>
      </c>
      <c r="B32" s="105">
        <f t="shared" si="5"/>
        <v>43713</v>
      </c>
      <c r="C32" s="110">
        <f t="shared" si="6"/>
        <v>10.454490125547466</v>
      </c>
      <c r="D32" s="111">
        <f t="shared" si="1"/>
        <v>37.385178767783742</v>
      </c>
      <c r="E32" s="111">
        <f t="shared" si="7"/>
        <v>0</v>
      </c>
      <c r="F32" s="111">
        <f t="shared" si="8"/>
        <v>0</v>
      </c>
      <c r="G32" s="111">
        <v>0</v>
      </c>
      <c r="H32" s="110">
        <f t="shared" si="9"/>
        <v>47.839668893331208</v>
      </c>
      <c r="I32" s="111">
        <f t="shared" si="2"/>
        <v>1.7424150209245777</v>
      </c>
      <c r="J32" s="110"/>
      <c r="K32" s="110"/>
      <c r="M32" s="103">
        <f t="shared" si="3"/>
        <v>47.839668893331208</v>
      </c>
      <c r="N32" s="110">
        <f t="shared" si="4"/>
        <v>905.10090826915643</v>
      </c>
      <c r="T32" s="118">
        <f t="shared" si="10"/>
        <v>47.839668893331208</v>
      </c>
    </row>
    <row r="33" spans="1:20">
      <c r="A33" s="110">
        <v>12</v>
      </c>
      <c r="B33" s="105">
        <f t="shared" si="5"/>
        <v>43743</v>
      </c>
      <c r="C33" s="110">
        <f t="shared" si="6"/>
        <v>10.881381805673989</v>
      </c>
      <c r="D33" s="111">
        <f t="shared" si="1"/>
        <v>36.958287087657219</v>
      </c>
      <c r="E33" s="111">
        <f t="shared" si="7"/>
        <v>0</v>
      </c>
      <c r="F33" s="111">
        <f t="shared" si="8"/>
        <v>0</v>
      </c>
      <c r="G33" s="111">
        <v>0</v>
      </c>
      <c r="H33" s="110">
        <f t="shared" si="9"/>
        <v>47.839668893331208</v>
      </c>
      <c r="I33" s="111">
        <f t="shared" si="2"/>
        <v>1.8135636342789982</v>
      </c>
      <c r="J33" s="110"/>
      <c r="K33" s="110"/>
      <c r="M33" s="103">
        <f t="shared" si="3"/>
        <v>47.839668893331208</v>
      </c>
      <c r="N33" s="110">
        <f t="shared" si="4"/>
        <v>894.21952646348245</v>
      </c>
      <c r="T33" s="118">
        <f t="shared" si="10"/>
        <v>47.839668893331208</v>
      </c>
    </row>
    <row r="34" spans="1:20">
      <c r="A34" s="110">
        <v>13</v>
      </c>
      <c r="B34" s="105">
        <f t="shared" si="5"/>
        <v>43774</v>
      </c>
      <c r="C34" s="110">
        <f t="shared" si="6"/>
        <v>11.325704896072345</v>
      </c>
      <c r="D34" s="111">
        <f t="shared" si="1"/>
        <v>36.513963997258863</v>
      </c>
      <c r="E34" s="111">
        <f t="shared" si="7"/>
        <v>0</v>
      </c>
      <c r="F34" s="111">
        <f t="shared" si="8"/>
        <v>0</v>
      </c>
      <c r="G34" s="111">
        <v>0</v>
      </c>
      <c r="H34" s="110">
        <f t="shared" si="9"/>
        <v>47.839668893331208</v>
      </c>
      <c r="I34" s="111">
        <f t="shared" si="2"/>
        <v>1.8876174826787242</v>
      </c>
      <c r="J34" s="110"/>
      <c r="K34" s="110"/>
      <c r="M34" s="103">
        <f t="shared" si="3"/>
        <v>47.839668893331208</v>
      </c>
      <c r="N34" s="110">
        <f t="shared" si="4"/>
        <v>882.8938215674101</v>
      </c>
      <c r="T34" s="118">
        <f t="shared" si="10"/>
        <v>47.839668893331208</v>
      </c>
    </row>
    <row r="35" spans="1:20">
      <c r="A35" s="110">
        <v>14</v>
      </c>
      <c r="B35" s="105">
        <f t="shared" si="5"/>
        <v>43804</v>
      </c>
      <c r="C35" s="110">
        <f t="shared" si="6"/>
        <v>11.788171179328629</v>
      </c>
      <c r="D35" s="111">
        <f t="shared" si="1"/>
        <v>36.051497714002579</v>
      </c>
      <c r="E35" s="111">
        <f t="shared" si="7"/>
        <v>0</v>
      </c>
      <c r="F35" s="111">
        <f t="shared" si="8"/>
        <v>0</v>
      </c>
      <c r="G35" s="111">
        <v>0</v>
      </c>
      <c r="H35" s="110">
        <f t="shared" si="9"/>
        <v>47.839668893331208</v>
      </c>
      <c r="I35" s="111">
        <f t="shared" si="2"/>
        <v>1.9646951965547714</v>
      </c>
      <c r="J35" s="110"/>
      <c r="K35" s="110"/>
      <c r="M35" s="103">
        <f t="shared" si="3"/>
        <v>47.839668893331208</v>
      </c>
      <c r="N35" s="110">
        <f t="shared" si="4"/>
        <v>871.10565038808147</v>
      </c>
      <c r="T35" s="118">
        <f t="shared" si="10"/>
        <v>47.839668893331208</v>
      </c>
    </row>
    <row r="36" spans="1:20">
      <c r="A36" s="110">
        <v>15</v>
      </c>
      <c r="B36" s="105">
        <f t="shared" si="5"/>
        <v>43835</v>
      </c>
      <c r="C36" s="110">
        <f t="shared" si="6"/>
        <v>12.269521502484544</v>
      </c>
      <c r="D36" s="111">
        <f t="shared" si="1"/>
        <v>35.570147390846664</v>
      </c>
      <c r="E36" s="111">
        <f t="shared" si="7"/>
        <v>0</v>
      </c>
      <c r="F36" s="111">
        <f t="shared" si="8"/>
        <v>0</v>
      </c>
      <c r="G36" s="111">
        <v>0</v>
      </c>
      <c r="H36" s="110">
        <f t="shared" si="9"/>
        <v>47.839668893331208</v>
      </c>
      <c r="I36" s="111">
        <f t="shared" si="2"/>
        <v>2.0449202504140906</v>
      </c>
      <c r="J36" s="110"/>
      <c r="K36" s="110"/>
      <c r="M36" s="103">
        <f t="shared" si="3"/>
        <v>47.839668893331208</v>
      </c>
      <c r="N36" s="110">
        <f t="shared" si="4"/>
        <v>858.83612888559696</v>
      </c>
      <c r="T36" s="118">
        <f t="shared" si="10"/>
        <v>47.839668893331208</v>
      </c>
    </row>
    <row r="37" spans="1:20">
      <c r="A37" s="110">
        <v>16</v>
      </c>
      <c r="B37" s="105">
        <f t="shared" si="5"/>
        <v>43866</v>
      </c>
      <c r="C37" s="110">
        <f t="shared" si="6"/>
        <v>12.770526963835998</v>
      </c>
      <c r="D37" s="111">
        <f t="shared" si="1"/>
        <v>35.06914192949521</v>
      </c>
      <c r="E37" s="111">
        <f t="shared" si="7"/>
        <v>0</v>
      </c>
      <c r="F37" s="111">
        <f t="shared" si="8"/>
        <v>0</v>
      </c>
      <c r="G37" s="111">
        <v>0</v>
      </c>
      <c r="H37" s="110">
        <f t="shared" si="9"/>
        <v>47.839668893331208</v>
      </c>
      <c r="I37" s="111">
        <f t="shared" si="2"/>
        <v>2.1284211606393328</v>
      </c>
      <c r="J37" s="110"/>
      <c r="K37" s="110"/>
      <c r="M37" s="103">
        <f t="shared" si="3"/>
        <v>47.839668893331208</v>
      </c>
      <c r="N37" s="110">
        <f t="shared" si="4"/>
        <v>846.06560192176096</v>
      </c>
      <c r="T37" s="118">
        <f t="shared" si="10"/>
        <v>47.839668893331208</v>
      </c>
    </row>
    <row r="38" spans="1:20">
      <c r="A38" s="110">
        <v>17</v>
      </c>
      <c r="B38" s="105">
        <f t="shared" si="5"/>
        <v>43895</v>
      </c>
      <c r="C38" s="110">
        <f t="shared" si="6"/>
        <v>13.291990148192632</v>
      </c>
      <c r="D38" s="111">
        <f t="shared" si="1"/>
        <v>34.547678745138576</v>
      </c>
      <c r="E38" s="111">
        <f t="shared" si="7"/>
        <v>0</v>
      </c>
      <c r="F38" s="111">
        <f t="shared" si="8"/>
        <v>0</v>
      </c>
      <c r="G38" s="111">
        <v>0</v>
      </c>
      <c r="H38" s="110">
        <f t="shared" si="9"/>
        <v>47.839668893331208</v>
      </c>
      <c r="I38" s="111">
        <f t="shared" si="2"/>
        <v>2.2153316913654391</v>
      </c>
      <c r="J38" s="110"/>
      <c r="K38" s="110"/>
      <c r="M38" s="103">
        <f t="shared" si="3"/>
        <v>47.839668893331208</v>
      </c>
      <c r="N38" s="110">
        <f t="shared" si="4"/>
        <v>832.77361177356829</v>
      </c>
      <c r="T38" s="118">
        <f t="shared" si="10"/>
        <v>47.839668893331208</v>
      </c>
    </row>
    <row r="39" spans="1:20">
      <c r="A39" s="110">
        <v>18</v>
      </c>
      <c r="B39" s="105">
        <f t="shared" si="5"/>
        <v>43926</v>
      </c>
      <c r="C39" s="110">
        <f t="shared" si="6"/>
        <v>13.834746412577168</v>
      </c>
      <c r="D39" s="111">
        <f t="shared" si="1"/>
        <v>34.00492248075404</v>
      </c>
      <c r="E39" s="111">
        <f t="shared" si="7"/>
        <v>0</v>
      </c>
      <c r="F39" s="111">
        <f t="shared" si="8"/>
        <v>0</v>
      </c>
      <c r="G39" s="111">
        <v>0</v>
      </c>
      <c r="H39" s="110">
        <f t="shared" si="9"/>
        <v>47.839668893331208</v>
      </c>
      <c r="I39" s="111">
        <f t="shared" si="2"/>
        <v>2.3057910687628618</v>
      </c>
      <c r="J39" s="110"/>
      <c r="K39" s="110"/>
      <c r="M39" s="103">
        <f t="shared" si="3"/>
        <v>47.839668893331208</v>
      </c>
      <c r="N39" s="110">
        <f t="shared" si="4"/>
        <v>818.93886536099114</v>
      </c>
      <c r="T39" s="118">
        <f t="shared" si="10"/>
        <v>47.839668893331208</v>
      </c>
    </row>
    <row r="40" spans="1:20">
      <c r="A40" s="110">
        <v>19</v>
      </c>
      <c r="B40" s="105">
        <f t="shared" si="5"/>
        <v>43956</v>
      </c>
      <c r="C40" s="110">
        <f t="shared" si="6"/>
        <v>14.399665224424069</v>
      </c>
      <c r="D40" s="111">
        <f t="shared" si="1"/>
        <v>33.440003668907138</v>
      </c>
      <c r="E40" s="111">
        <f t="shared" si="7"/>
        <v>0</v>
      </c>
      <c r="F40" s="111">
        <f t="shared" si="8"/>
        <v>0</v>
      </c>
      <c r="G40" s="111">
        <v>0</v>
      </c>
      <c r="H40" s="110">
        <f t="shared" si="9"/>
        <v>47.839668893331208</v>
      </c>
      <c r="I40" s="111">
        <f t="shared" si="2"/>
        <v>2.3999442040706782</v>
      </c>
      <c r="J40" s="110"/>
      <c r="K40" s="110"/>
      <c r="M40" s="103">
        <f t="shared" si="3"/>
        <v>47.839668893331208</v>
      </c>
      <c r="N40" s="110">
        <f t="shared" si="4"/>
        <v>804.53920013656705</v>
      </c>
      <c r="T40" s="118">
        <f t="shared" si="10"/>
        <v>47.839668893331208</v>
      </c>
    </row>
    <row r="41" spans="1:20">
      <c r="A41" s="110">
        <v>20</v>
      </c>
      <c r="B41" s="105">
        <f t="shared" si="5"/>
        <v>43987</v>
      </c>
      <c r="C41" s="110">
        <f t="shared" si="6"/>
        <v>14.987651554421383</v>
      </c>
      <c r="D41" s="111">
        <f t="shared" si="1"/>
        <v>32.852017338909825</v>
      </c>
      <c r="E41" s="111">
        <f t="shared" si="7"/>
        <v>0</v>
      </c>
      <c r="F41" s="111">
        <f t="shared" si="8"/>
        <v>0</v>
      </c>
      <c r="G41" s="111">
        <v>0</v>
      </c>
      <c r="H41" s="110">
        <f t="shared" si="9"/>
        <v>47.839668893331208</v>
      </c>
      <c r="I41" s="111">
        <f t="shared" si="2"/>
        <v>2.4979419257368969</v>
      </c>
      <c r="J41" s="110"/>
      <c r="K41" s="110"/>
      <c r="M41" s="103">
        <f t="shared" si="3"/>
        <v>47.839668893331208</v>
      </c>
      <c r="N41" s="110">
        <f t="shared" si="4"/>
        <v>789.55154858214564</v>
      </c>
      <c r="T41" s="118">
        <f t="shared" si="10"/>
        <v>47.839668893331208</v>
      </c>
    </row>
    <row r="42" spans="1:20">
      <c r="A42" s="110">
        <v>21</v>
      </c>
      <c r="B42" s="105">
        <f t="shared" si="5"/>
        <v>44017</v>
      </c>
      <c r="C42" s="110">
        <f t="shared" si="6"/>
        <v>15.599647326226929</v>
      </c>
      <c r="D42" s="111">
        <f t="shared" si="1"/>
        <v>32.240021567104279</v>
      </c>
      <c r="E42" s="111">
        <f t="shared" si="7"/>
        <v>0</v>
      </c>
      <c r="F42" s="111">
        <f t="shared" si="8"/>
        <v>0</v>
      </c>
      <c r="G42" s="111">
        <v>0</v>
      </c>
      <c r="H42" s="110">
        <f t="shared" si="9"/>
        <v>47.839668893331208</v>
      </c>
      <c r="I42" s="111">
        <f t="shared" si="2"/>
        <v>2.5999412210378217</v>
      </c>
      <c r="J42" s="110"/>
      <c r="K42" s="110"/>
      <c r="M42" s="103">
        <f t="shared" si="3"/>
        <v>47.839668893331208</v>
      </c>
      <c r="N42" s="110">
        <f t="shared" si="4"/>
        <v>773.95190125591876</v>
      </c>
      <c r="T42" s="118">
        <f t="shared" si="10"/>
        <v>47.839668893331208</v>
      </c>
    </row>
    <row r="43" spans="1:20">
      <c r="A43" s="110">
        <v>22</v>
      </c>
      <c r="B43" s="105">
        <f t="shared" si="5"/>
        <v>44048</v>
      </c>
      <c r="C43" s="110">
        <f t="shared" si="6"/>
        <v>16.236632925381191</v>
      </c>
      <c r="D43" s="111">
        <f t="shared" si="1"/>
        <v>31.603035967950017</v>
      </c>
      <c r="E43" s="111">
        <f t="shared" si="7"/>
        <v>0</v>
      </c>
      <c r="F43" s="111">
        <f t="shared" si="8"/>
        <v>0</v>
      </c>
      <c r="G43" s="111">
        <v>0</v>
      </c>
      <c r="H43" s="110">
        <f t="shared" si="9"/>
        <v>47.839668893331208</v>
      </c>
      <c r="I43" s="111">
        <f t="shared" si="2"/>
        <v>2.7061054875635318</v>
      </c>
      <c r="J43" s="110"/>
      <c r="K43" s="110"/>
      <c r="M43" s="103">
        <f t="shared" si="3"/>
        <v>47.839668893331208</v>
      </c>
      <c r="N43" s="110">
        <f t="shared" si="4"/>
        <v>757.71526833053758</v>
      </c>
      <c r="T43" s="118">
        <f t="shared" si="10"/>
        <v>47.839668893331208</v>
      </c>
    </row>
    <row r="44" spans="1:20">
      <c r="A44" s="110">
        <v>23</v>
      </c>
      <c r="B44" s="105">
        <f t="shared" si="5"/>
        <v>44079</v>
      </c>
      <c r="C44" s="110">
        <f t="shared" si="6"/>
        <v>16.899628769834255</v>
      </c>
      <c r="D44" s="111">
        <f t="shared" si="1"/>
        <v>30.940040123496953</v>
      </c>
      <c r="E44" s="111">
        <f t="shared" si="7"/>
        <v>0</v>
      </c>
      <c r="F44" s="111">
        <f t="shared" si="8"/>
        <v>0</v>
      </c>
      <c r="G44" s="111">
        <v>0</v>
      </c>
      <c r="H44" s="110">
        <f t="shared" si="9"/>
        <v>47.839668893331208</v>
      </c>
      <c r="I44" s="111">
        <f t="shared" si="2"/>
        <v>2.8166047949723758</v>
      </c>
      <c r="J44" s="110"/>
      <c r="K44" s="110"/>
      <c r="M44" s="103">
        <f t="shared" si="3"/>
        <v>47.839668893331208</v>
      </c>
      <c r="N44" s="110">
        <f t="shared" si="4"/>
        <v>740.81563956070329</v>
      </c>
      <c r="T44" s="118">
        <f t="shared" si="10"/>
        <v>47.839668893331208</v>
      </c>
    </row>
    <row r="45" spans="1:20">
      <c r="A45" s="110">
        <v>24</v>
      </c>
      <c r="B45" s="105">
        <f t="shared" si="5"/>
        <v>44109</v>
      </c>
      <c r="C45" s="110">
        <f t="shared" si="6"/>
        <v>17.58969694460249</v>
      </c>
      <c r="D45" s="111">
        <f t="shared" si="1"/>
        <v>30.249971948728717</v>
      </c>
      <c r="E45" s="111">
        <f t="shared" si="7"/>
        <v>0</v>
      </c>
      <c r="F45" s="111">
        <f t="shared" si="8"/>
        <v>0</v>
      </c>
      <c r="G45" s="111">
        <v>0</v>
      </c>
      <c r="H45" s="110">
        <f t="shared" si="9"/>
        <v>47.839668893331208</v>
      </c>
      <c r="I45" s="111">
        <f t="shared" si="2"/>
        <v>2.9316161574337487</v>
      </c>
      <c r="J45" s="110"/>
      <c r="K45" s="110"/>
      <c r="M45" s="103">
        <f t="shared" si="3"/>
        <v>47.839668893331208</v>
      </c>
      <c r="N45" s="110">
        <f t="shared" si="4"/>
        <v>723.22594261610084</v>
      </c>
      <c r="T45" s="118">
        <f t="shared" si="10"/>
        <v>47.839668893331208</v>
      </c>
    </row>
    <row r="46" spans="1:20">
      <c r="A46" s="110">
        <v>25</v>
      </c>
      <c r="B46" s="105">
        <f t="shared" si="5"/>
        <v>44140</v>
      </c>
      <c r="C46" s="110">
        <f t="shared" si="6"/>
        <v>18.307942903173757</v>
      </c>
      <c r="D46" s="111">
        <f t="shared" si="1"/>
        <v>29.531725990157451</v>
      </c>
      <c r="E46" s="111">
        <f t="shared" si="7"/>
        <v>0</v>
      </c>
      <c r="F46" s="111">
        <f t="shared" si="8"/>
        <v>0</v>
      </c>
      <c r="G46" s="111">
        <v>0</v>
      </c>
      <c r="H46" s="110">
        <f t="shared" si="9"/>
        <v>47.839668893331208</v>
      </c>
      <c r="I46" s="111">
        <f t="shared" si="2"/>
        <v>3.0513238171956258</v>
      </c>
      <c r="J46" s="110"/>
      <c r="K46" s="110"/>
      <c r="M46" s="103">
        <f t="shared" si="3"/>
        <v>47.839668893331208</v>
      </c>
      <c r="N46" s="110">
        <f t="shared" si="4"/>
        <v>704.9179997129271</v>
      </c>
      <c r="T46" s="118">
        <f t="shared" si="10"/>
        <v>47.839668893331208</v>
      </c>
    </row>
    <row r="47" spans="1:20">
      <c r="A47" s="110">
        <v>26</v>
      </c>
      <c r="B47" s="105">
        <f t="shared" si="5"/>
        <v>44170</v>
      </c>
      <c r="C47" s="110">
        <f t="shared" si="6"/>
        <v>19.055517238386685</v>
      </c>
      <c r="D47" s="111">
        <f t="shared" si="1"/>
        <v>28.784151654944523</v>
      </c>
      <c r="E47" s="111">
        <f t="shared" si="7"/>
        <v>0</v>
      </c>
      <c r="F47" s="111">
        <f t="shared" si="8"/>
        <v>0</v>
      </c>
      <c r="G47" s="111">
        <v>0</v>
      </c>
      <c r="H47" s="110">
        <f t="shared" si="9"/>
        <v>47.839668893331208</v>
      </c>
      <c r="I47" s="111">
        <f t="shared" si="2"/>
        <v>3.175919539731114</v>
      </c>
      <c r="J47" s="110"/>
      <c r="K47" s="110"/>
      <c r="M47" s="103">
        <f t="shared" si="3"/>
        <v>47.839668893331208</v>
      </c>
      <c r="N47" s="110">
        <f t="shared" si="4"/>
        <v>685.86248247454046</v>
      </c>
      <c r="T47" s="118">
        <f t="shared" si="10"/>
        <v>47.839668893331208</v>
      </c>
    </row>
    <row r="48" spans="1:20">
      <c r="A48" s="110">
        <v>27</v>
      </c>
      <c r="B48" s="105">
        <f t="shared" si="5"/>
        <v>44201</v>
      </c>
      <c r="C48" s="110">
        <f t="shared" si="6"/>
        <v>19.833617525620806</v>
      </c>
      <c r="D48" s="111">
        <f t="shared" si="1"/>
        <v>28.006051367710402</v>
      </c>
      <c r="E48" s="111">
        <f t="shared" si="7"/>
        <v>0</v>
      </c>
      <c r="F48" s="111">
        <f t="shared" si="8"/>
        <v>0</v>
      </c>
      <c r="G48" s="111">
        <v>0</v>
      </c>
      <c r="H48" s="110">
        <f t="shared" si="9"/>
        <v>47.839668893331208</v>
      </c>
      <c r="I48" s="111">
        <f t="shared" si="2"/>
        <v>3.305602920936801</v>
      </c>
      <c r="J48" s="110"/>
      <c r="K48" s="110"/>
      <c r="M48" s="103">
        <f t="shared" si="3"/>
        <v>47.839668893331208</v>
      </c>
      <c r="N48" s="110">
        <f t="shared" si="4"/>
        <v>666.0288649489197</v>
      </c>
      <c r="T48" s="118">
        <f t="shared" si="10"/>
        <v>47.839668893331208</v>
      </c>
    </row>
    <row r="49" spans="1:20">
      <c r="A49" s="110">
        <v>28</v>
      </c>
      <c r="B49" s="105">
        <f t="shared" si="5"/>
        <v>44232</v>
      </c>
      <c r="C49" s="110">
        <f t="shared" si="6"/>
        <v>20.643490241250319</v>
      </c>
      <c r="D49" s="111">
        <f t="shared" si="1"/>
        <v>27.196178652080889</v>
      </c>
      <c r="E49" s="111">
        <f t="shared" si="7"/>
        <v>0</v>
      </c>
      <c r="F49" s="111">
        <f t="shared" si="8"/>
        <v>0</v>
      </c>
      <c r="G49" s="111">
        <v>0</v>
      </c>
      <c r="H49" s="110">
        <f t="shared" si="9"/>
        <v>47.839668893331208</v>
      </c>
      <c r="I49" s="111">
        <f t="shared" si="2"/>
        <v>3.440581706875053</v>
      </c>
      <c r="J49" s="110"/>
      <c r="K49" s="110"/>
      <c r="M49" s="103">
        <f t="shared" si="3"/>
        <v>47.839668893331208</v>
      </c>
      <c r="N49" s="110">
        <f t="shared" si="4"/>
        <v>645.38537470766937</v>
      </c>
      <c r="T49" s="118">
        <f t="shared" si="10"/>
        <v>47.839668893331208</v>
      </c>
    </row>
    <row r="50" spans="1:20">
      <c r="A50" s="110">
        <v>29</v>
      </c>
      <c r="B50" s="105">
        <f t="shared" si="5"/>
        <v>44260</v>
      </c>
      <c r="C50" s="110">
        <f t="shared" si="6"/>
        <v>21.48643275943471</v>
      </c>
      <c r="D50" s="111">
        <f t="shared" si="1"/>
        <v>26.353236133896498</v>
      </c>
      <c r="E50" s="111">
        <f t="shared" si="7"/>
        <v>0</v>
      </c>
      <c r="F50" s="111">
        <f t="shared" si="8"/>
        <v>0</v>
      </c>
      <c r="G50" s="111">
        <v>0</v>
      </c>
      <c r="H50" s="110">
        <f t="shared" si="9"/>
        <v>47.839668893331208</v>
      </c>
      <c r="I50" s="111">
        <f t="shared" si="2"/>
        <v>3.5810721265724514</v>
      </c>
      <c r="J50" s="110"/>
      <c r="K50" s="110"/>
      <c r="M50" s="103">
        <f t="shared" si="3"/>
        <v>47.839668893331208</v>
      </c>
      <c r="N50" s="110">
        <f t="shared" si="4"/>
        <v>623.89894194823466</v>
      </c>
      <c r="T50" s="118">
        <f t="shared" si="10"/>
        <v>47.839668893331208</v>
      </c>
    </row>
    <row r="51" spans="1:20">
      <c r="A51" s="110">
        <v>30</v>
      </c>
      <c r="B51" s="105">
        <f t="shared" si="5"/>
        <v>44291</v>
      </c>
      <c r="C51" s="110">
        <f t="shared" si="6"/>
        <v>22.363795430444963</v>
      </c>
      <c r="D51" s="111">
        <f t="shared" si="1"/>
        <v>25.475873462886245</v>
      </c>
      <c r="E51" s="111">
        <f t="shared" si="7"/>
        <v>0</v>
      </c>
      <c r="F51" s="111">
        <f t="shared" si="8"/>
        <v>0</v>
      </c>
      <c r="G51" s="111">
        <v>0</v>
      </c>
      <c r="H51" s="110">
        <f t="shared" si="9"/>
        <v>47.839668893331208</v>
      </c>
      <c r="I51" s="111">
        <f t="shared" si="2"/>
        <v>3.7272992384074941</v>
      </c>
      <c r="J51" s="110"/>
      <c r="K51" s="110"/>
      <c r="M51" s="103">
        <f t="shared" si="3"/>
        <v>47.839668893331208</v>
      </c>
      <c r="N51" s="110">
        <f t="shared" si="4"/>
        <v>601.53514651778971</v>
      </c>
      <c r="T51" s="118">
        <f t="shared" si="10"/>
        <v>47.839668893331208</v>
      </c>
    </row>
    <row r="52" spans="1:20">
      <c r="A52" s="110">
        <v>31</v>
      </c>
      <c r="B52" s="105">
        <f t="shared" si="5"/>
        <v>44321</v>
      </c>
      <c r="C52" s="110">
        <f t="shared" si="6"/>
        <v>23.276983743854796</v>
      </c>
      <c r="D52" s="111">
        <f t="shared" si="1"/>
        <v>24.562685149476412</v>
      </c>
      <c r="E52" s="111">
        <f t="shared" si="7"/>
        <v>0</v>
      </c>
      <c r="F52" s="111">
        <f t="shared" si="8"/>
        <v>0</v>
      </c>
      <c r="G52" s="111">
        <v>0</v>
      </c>
      <c r="H52" s="110">
        <f t="shared" si="9"/>
        <v>47.839668893331208</v>
      </c>
      <c r="I52" s="111">
        <f t="shared" si="2"/>
        <v>3.8794972906424663</v>
      </c>
      <c r="J52" s="110"/>
      <c r="K52" s="110"/>
      <c r="M52" s="103">
        <f t="shared" si="3"/>
        <v>47.839668893331208</v>
      </c>
      <c r="N52" s="110">
        <f t="shared" si="4"/>
        <v>578.25816277393494</v>
      </c>
      <c r="T52" s="118">
        <f t="shared" si="10"/>
        <v>47.839668893331208</v>
      </c>
    </row>
    <row r="53" spans="1:20">
      <c r="A53" s="110">
        <v>32</v>
      </c>
      <c r="B53" s="105">
        <f t="shared" si="5"/>
        <v>44352</v>
      </c>
      <c r="C53" s="110">
        <f t="shared" si="6"/>
        <v>24.2274605800622</v>
      </c>
      <c r="D53" s="111">
        <f t="shared" si="1"/>
        <v>23.612208313269008</v>
      </c>
      <c r="E53" s="111">
        <f t="shared" si="7"/>
        <v>0</v>
      </c>
      <c r="F53" s="111">
        <f t="shared" si="8"/>
        <v>0</v>
      </c>
      <c r="G53" s="111">
        <v>0</v>
      </c>
      <c r="H53" s="110">
        <f t="shared" si="9"/>
        <v>47.839668893331208</v>
      </c>
      <c r="I53" s="111">
        <f t="shared" si="2"/>
        <v>4.0379100966770336</v>
      </c>
      <c r="J53" s="110"/>
      <c r="K53" s="110"/>
      <c r="M53" s="103">
        <f t="shared" si="3"/>
        <v>47.839668893331208</v>
      </c>
      <c r="N53" s="110">
        <f t="shared" si="4"/>
        <v>554.03070219387268</v>
      </c>
      <c r="T53" s="118">
        <f t="shared" si="10"/>
        <v>47.839668893331208</v>
      </c>
    </row>
    <row r="54" spans="1:20">
      <c r="A54" s="110">
        <v>33</v>
      </c>
      <c r="B54" s="105">
        <f t="shared" si="5"/>
        <v>44382</v>
      </c>
      <c r="C54" s="110">
        <f t="shared" si="6"/>
        <v>25.216748553748076</v>
      </c>
      <c r="D54" s="111">
        <f t="shared" si="1"/>
        <v>22.622920339583132</v>
      </c>
      <c r="E54" s="111">
        <f t="shared" si="7"/>
        <v>0</v>
      </c>
      <c r="F54" s="111">
        <f t="shared" si="8"/>
        <v>0</v>
      </c>
      <c r="G54" s="111">
        <v>0</v>
      </c>
      <c r="H54" s="110">
        <f t="shared" si="9"/>
        <v>47.839668893331208</v>
      </c>
      <c r="I54" s="111">
        <f t="shared" si="2"/>
        <v>4.202791425624679</v>
      </c>
      <c r="J54" s="110"/>
      <c r="K54" s="110"/>
      <c r="M54" s="103">
        <f t="shared" si="3"/>
        <v>47.839668893331208</v>
      </c>
      <c r="N54" s="110">
        <f t="shared" si="4"/>
        <v>528.81395364012462</v>
      </c>
      <c r="T54" s="118">
        <f t="shared" si="10"/>
        <v>47.839668893331208</v>
      </c>
    </row>
    <row r="55" spans="1:20">
      <c r="A55" s="110">
        <v>34</v>
      </c>
      <c r="B55" s="105">
        <f t="shared" si="5"/>
        <v>44413</v>
      </c>
      <c r="C55" s="110">
        <f t="shared" si="6"/>
        <v>26.24643245302612</v>
      </c>
      <c r="D55" s="111">
        <f t="shared" si="1"/>
        <v>21.593236440305088</v>
      </c>
      <c r="E55" s="111">
        <f t="shared" si="7"/>
        <v>0</v>
      </c>
      <c r="F55" s="111">
        <f t="shared" si="8"/>
        <v>0</v>
      </c>
      <c r="G55" s="111">
        <v>0</v>
      </c>
      <c r="H55" s="110">
        <f t="shared" si="9"/>
        <v>47.839668893331208</v>
      </c>
      <c r="I55" s="111">
        <f t="shared" si="2"/>
        <v>4.3744054088376867</v>
      </c>
      <c r="J55" s="110"/>
      <c r="K55" s="110"/>
      <c r="M55" s="103">
        <f t="shared" si="3"/>
        <v>47.839668893331208</v>
      </c>
      <c r="N55" s="110">
        <f t="shared" si="4"/>
        <v>502.56752118709852</v>
      </c>
      <c r="T55" s="118">
        <f t="shared" si="10"/>
        <v>47.839668893331208</v>
      </c>
    </row>
    <row r="56" spans="1:20">
      <c r="A56" s="110">
        <v>35</v>
      </c>
      <c r="B56" s="105">
        <f t="shared" si="5"/>
        <v>44444</v>
      </c>
      <c r="C56" s="110">
        <f t="shared" si="6"/>
        <v>27.318161778191349</v>
      </c>
      <c r="D56" s="111">
        <f t="shared" si="1"/>
        <v>20.521507115139858</v>
      </c>
      <c r="E56" s="111">
        <f t="shared" si="7"/>
        <v>0</v>
      </c>
      <c r="F56" s="111">
        <f t="shared" si="8"/>
        <v>0</v>
      </c>
      <c r="G56" s="111">
        <v>0</v>
      </c>
      <c r="H56" s="110">
        <f t="shared" si="9"/>
        <v>47.839668893331208</v>
      </c>
      <c r="I56" s="111">
        <f t="shared" si="2"/>
        <v>4.5530269630318916</v>
      </c>
      <c r="J56" s="110"/>
      <c r="K56" s="110"/>
      <c r="M56" s="103">
        <f t="shared" si="3"/>
        <v>47.839668893331208</v>
      </c>
      <c r="N56" s="110">
        <f t="shared" si="4"/>
        <v>475.2493594089072</v>
      </c>
      <c r="T56" s="118">
        <f t="shared" si="10"/>
        <v>47.839668893331208</v>
      </c>
    </row>
    <row r="57" spans="1:20">
      <c r="A57" s="110">
        <v>36</v>
      </c>
      <c r="B57" s="105">
        <f t="shared" si="5"/>
        <v>44474</v>
      </c>
      <c r="C57" s="110">
        <f t="shared" si="6"/>
        <v>28.433653384134164</v>
      </c>
      <c r="D57" s="111">
        <f t="shared" si="1"/>
        <v>19.406015509197044</v>
      </c>
      <c r="E57" s="111">
        <f t="shared" si="7"/>
        <v>0</v>
      </c>
      <c r="F57" s="111">
        <f t="shared" si="8"/>
        <v>0</v>
      </c>
      <c r="G57" s="111">
        <v>0</v>
      </c>
      <c r="H57" s="110">
        <f t="shared" si="9"/>
        <v>47.839668893331208</v>
      </c>
      <c r="I57" s="111">
        <f t="shared" si="2"/>
        <v>4.7389422306890276</v>
      </c>
      <c r="J57" s="110"/>
      <c r="K57" s="110"/>
      <c r="M57" s="103">
        <f t="shared" si="3"/>
        <v>47.839668893331208</v>
      </c>
      <c r="N57" s="110">
        <f t="shared" si="4"/>
        <v>446.81570602477302</v>
      </c>
      <c r="T57" s="118">
        <f t="shared" si="10"/>
        <v>47.839668893331208</v>
      </c>
    </row>
    <row r="58" spans="1:20">
      <c r="A58" s="110">
        <v>37</v>
      </c>
      <c r="B58" s="105">
        <f t="shared" si="5"/>
        <v>44505</v>
      </c>
      <c r="C58" s="110">
        <f t="shared" si="6"/>
        <v>29.594694230652976</v>
      </c>
      <c r="D58" s="111">
        <f t="shared" si="1"/>
        <v>18.244974662678231</v>
      </c>
      <c r="E58" s="111">
        <f t="shared" si="7"/>
        <v>0</v>
      </c>
      <c r="F58" s="111">
        <f t="shared" si="8"/>
        <v>0</v>
      </c>
      <c r="G58" s="111">
        <v>0</v>
      </c>
      <c r="H58" s="110">
        <f t="shared" si="9"/>
        <v>47.839668893331208</v>
      </c>
      <c r="I58" s="111">
        <f t="shared" si="2"/>
        <v>4.9324490384421624</v>
      </c>
      <c r="J58" s="110"/>
      <c r="K58" s="110"/>
      <c r="M58" s="103">
        <f t="shared" si="3"/>
        <v>47.839668893331208</v>
      </c>
      <c r="N58" s="110">
        <f t="shared" si="4"/>
        <v>417.22101179412005</v>
      </c>
      <c r="T58" s="118">
        <f t="shared" si="10"/>
        <v>47.839668893331208</v>
      </c>
    </row>
    <row r="59" spans="1:20">
      <c r="A59" s="110">
        <v>38</v>
      </c>
      <c r="B59" s="105">
        <f t="shared" si="5"/>
        <v>44535</v>
      </c>
      <c r="C59" s="110">
        <f t="shared" si="6"/>
        <v>30.803144245071305</v>
      </c>
      <c r="D59" s="111">
        <f t="shared" si="1"/>
        <v>17.036524648259903</v>
      </c>
      <c r="E59" s="111">
        <f t="shared" si="7"/>
        <v>0</v>
      </c>
      <c r="F59" s="111">
        <f t="shared" si="8"/>
        <v>0</v>
      </c>
      <c r="G59" s="111">
        <v>0</v>
      </c>
      <c r="H59" s="110">
        <f t="shared" si="9"/>
        <v>47.839668893331208</v>
      </c>
      <c r="I59" s="111">
        <f t="shared" si="2"/>
        <v>5.1338573741785503</v>
      </c>
      <c r="J59" s="110"/>
      <c r="K59" s="110"/>
      <c r="M59" s="103">
        <f t="shared" si="3"/>
        <v>47.839668893331208</v>
      </c>
      <c r="N59" s="110">
        <f t="shared" si="4"/>
        <v>386.41786754904876</v>
      </c>
      <c r="T59" s="118">
        <f t="shared" si="10"/>
        <v>47.839668893331208</v>
      </c>
    </row>
    <row r="60" spans="1:20">
      <c r="A60" s="110">
        <v>39</v>
      </c>
      <c r="B60" s="105">
        <f t="shared" si="5"/>
        <v>44566</v>
      </c>
      <c r="C60" s="110">
        <f t="shared" si="6"/>
        <v>32.060939301745051</v>
      </c>
      <c r="D60" s="111">
        <f t="shared" si="1"/>
        <v>15.778729591586158</v>
      </c>
      <c r="E60" s="111">
        <f t="shared" si="7"/>
        <v>0</v>
      </c>
      <c r="F60" s="111">
        <f t="shared" si="8"/>
        <v>0</v>
      </c>
      <c r="G60" s="111">
        <v>0</v>
      </c>
      <c r="H60" s="110">
        <f t="shared" si="9"/>
        <v>47.839668893331208</v>
      </c>
      <c r="I60" s="111">
        <f t="shared" si="2"/>
        <v>5.3434898836241755</v>
      </c>
      <c r="J60" s="110"/>
      <c r="K60" s="110"/>
      <c r="M60" s="103">
        <f t="shared" si="3"/>
        <v>47.839668893331208</v>
      </c>
      <c r="N60" s="110">
        <f t="shared" si="4"/>
        <v>354.3569282473037</v>
      </c>
      <c r="T60" s="118">
        <f t="shared" si="10"/>
        <v>47.839668893331208</v>
      </c>
    </row>
    <row r="61" spans="1:20">
      <c r="A61" s="110">
        <v>40</v>
      </c>
      <c r="B61" s="105">
        <f t="shared" si="5"/>
        <v>44597</v>
      </c>
      <c r="C61" s="110">
        <f t="shared" si="6"/>
        <v>33.370094323232976</v>
      </c>
      <c r="D61" s="111">
        <f t="shared" si="1"/>
        <v>14.469574570098233</v>
      </c>
      <c r="E61" s="111">
        <f t="shared" si="7"/>
        <v>0</v>
      </c>
      <c r="F61" s="111">
        <f t="shared" si="8"/>
        <v>0</v>
      </c>
      <c r="G61" s="111">
        <v>0</v>
      </c>
      <c r="H61" s="110">
        <f t="shared" si="9"/>
        <v>47.839668893331208</v>
      </c>
      <c r="I61" s="111">
        <f t="shared" si="2"/>
        <v>5.5616823872054963</v>
      </c>
      <c r="J61" s="110"/>
      <c r="K61" s="110"/>
      <c r="M61" s="103">
        <f t="shared" si="3"/>
        <v>47.839668893331208</v>
      </c>
      <c r="N61" s="110">
        <f t="shared" si="4"/>
        <v>320.98683392407071</v>
      </c>
      <c r="T61" s="118">
        <f t="shared" si="10"/>
        <v>47.839668893331208</v>
      </c>
    </row>
    <row r="62" spans="1:20">
      <c r="A62" s="110">
        <v>41</v>
      </c>
      <c r="B62" s="105">
        <f t="shared" si="5"/>
        <v>44625</v>
      </c>
      <c r="C62" s="110">
        <f t="shared" si="6"/>
        <v>34.732706508098317</v>
      </c>
      <c r="D62" s="111">
        <f t="shared" si="1"/>
        <v>13.106962385232888</v>
      </c>
      <c r="E62" s="111">
        <f t="shared" si="7"/>
        <v>0</v>
      </c>
      <c r="F62" s="111">
        <f t="shared" si="8"/>
        <v>0</v>
      </c>
      <c r="G62" s="111">
        <v>0</v>
      </c>
      <c r="H62" s="110">
        <f t="shared" si="9"/>
        <v>47.839668893331208</v>
      </c>
      <c r="I62" s="111">
        <f t="shared" si="2"/>
        <v>5.7887844180163865</v>
      </c>
      <c r="J62" s="110"/>
      <c r="K62" s="110"/>
      <c r="M62" s="103">
        <f t="shared" si="3"/>
        <v>47.839668893331208</v>
      </c>
      <c r="N62" s="110">
        <f t="shared" si="4"/>
        <v>286.25412741597239</v>
      </c>
      <c r="T62" s="118">
        <f t="shared" si="10"/>
        <v>47.839668893331208</v>
      </c>
    </row>
    <row r="63" spans="1:20">
      <c r="A63" s="110">
        <v>42</v>
      </c>
      <c r="B63" s="105">
        <f t="shared" si="5"/>
        <v>44656</v>
      </c>
      <c r="C63" s="110">
        <f t="shared" si="6"/>
        <v>36.150958690512333</v>
      </c>
      <c r="D63" s="111">
        <f t="shared" si="1"/>
        <v>11.688710202818873</v>
      </c>
      <c r="E63" s="111">
        <f t="shared" si="7"/>
        <v>0</v>
      </c>
      <c r="F63" s="111">
        <f t="shared" si="8"/>
        <v>0</v>
      </c>
      <c r="G63" s="111">
        <v>0</v>
      </c>
      <c r="H63" s="110">
        <f t="shared" si="9"/>
        <v>47.839668893331208</v>
      </c>
      <c r="I63" s="111">
        <f t="shared" si="2"/>
        <v>6.0251597817520555</v>
      </c>
      <c r="J63" s="110"/>
      <c r="K63" s="110"/>
      <c r="M63" s="103">
        <f t="shared" si="3"/>
        <v>47.839668893331208</v>
      </c>
      <c r="N63" s="110">
        <f t="shared" si="4"/>
        <v>250.10316872546005</v>
      </c>
      <c r="T63" s="118">
        <f t="shared" si="10"/>
        <v>47.839668893331208</v>
      </c>
    </row>
    <row r="64" spans="1:20">
      <c r="A64" s="110">
        <v>43</v>
      </c>
      <c r="B64" s="105">
        <f t="shared" si="5"/>
        <v>44686</v>
      </c>
      <c r="C64" s="110">
        <f t="shared" si="6"/>
        <v>37.62712283704159</v>
      </c>
      <c r="D64" s="111">
        <f t="shared" si="1"/>
        <v>10.21254605628962</v>
      </c>
      <c r="E64" s="111">
        <f t="shared" si="7"/>
        <v>0</v>
      </c>
      <c r="F64" s="111">
        <f t="shared" si="8"/>
        <v>0</v>
      </c>
      <c r="G64" s="111">
        <v>0</v>
      </c>
      <c r="H64" s="110">
        <f t="shared" si="9"/>
        <v>47.839668893331208</v>
      </c>
      <c r="I64" s="111">
        <f t="shared" si="2"/>
        <v>6.2711871395069316</v>
      </c>
      <c r="J64" s="110"/>
      <c r="K64" s="110"/>
      <c r="M64" s="103">
        <f t="shared" si="3"/>
        <v>47.839668893331208</v>
      </c>
      <c r="N64" s="110">
        <f t="shared" si="4"/>
        <v>212.47604588841847</v>
      </c>
      <c r="T64" s="118">
        <f t="shared" si="10"/>
        <v>47.839668893331208</v>
      </c>
    </row>
    <row r="65" spans="1:20">
      <c r="A65" s="110">
        <v>44</v>
      </c>
      <c r="B65" s="105">
        <f t="shared" si="5"/>
        <v>44717</v>
      </c>
      <c r="C65" s="110">
        <f t="shared" si="6"/>
        <v>39.163563686220783</v>
      </c>
      <c r="D65" s="111">
        <f t="shared" si="1"/>
        <v>8.676105207110421</v>
      </c>
      <c r="E65" s="111">
        <f t="shared" si="7"/>
        <v>0</v>
      </c>
      <c r="F65" s="111">
        <f t="shared" si="8"/>
        <v>0</v>
      </c>
      <c r="G65" s="111">
        <v>0</v>
      </c>
      <c r="H65" s="110">
        <f t="shared" si="9"/>
        <v>47.839668893331208</v>
      </c>
      <c r="I65" s="111">
        <f t="shared" si="2"/>
        <v>6.5272606143701308</v>
      </c>
      <c r="J65" s="110"/>
      <c r="K65" s="110"/>
      <c r="M65" s="103">
        <f t="shared" si="3"/>
        <v>47.839668893331208</v>
      </c>
      <c r="N65" s="110">
        <f t="shared" si="4"/>
        <v>173.31248220219769</v>
      </c>
      <c r="T65" s="118">
        <f t="shared" si="10"/>
        <v>47.839668893331208</v>
      </c>
    </row>
    <row r="66" spans="1:20">
      <c r="A66" s="110">
        <v>45</v>
      </c>
      <c r="B66" s="105">
        <f t="shared" si="5"/>
        <v>44747</v>
      </c>
      <c r="C66" s="110">
        <f t="shared" si="6"/>
        <v>40.76274253674147</v>
      </c>
      <c r="D66" s="111">
        <f t="shared" si="1"/>
        <v>7.0769263565897385</v>
      </c>
      <c r="E66" s="111">
        <f t="shared" si="7"/>
        <v>0</v>
      </c>
      <c r="F66" s="111">
        <f t="shared" si="8"/>
        <v>0</v>
      </c>
      <c r="G66" s="111">
        <v>0</v>
      </c>
      <c r="H66" s="110">
        <f t="shared" si="9"/>
        <v>47.839668893331208</v>
      </c>
      <c r="I66" s="111">
        <f t="shared" si="2"/>
        <v>6.7937904227902459</v>
      </c>
      <c r="J66" s="110"/>
      <c r="K66" s="110"/>
      <c r="M66" s="103">
        <f t="shared" si="3"/>
        <v>47.839668893331208</v>
      </c>
      <c r="N66" s="110">
        <f t="shared" si="4"/>
        <v>132.54973966545623</v>
      </c>
      <c r="T66" s="118">
        <f t="shared" si="10"/>
        <v>47.839668893331208</v>
      </c>
    </row>
    <row r="67" spans="1:20">
      <c r="A67" s="110">
        <v>46</v>
      </c>
      <c r="B67" s="105">
        <f t="shared" si="5"/>
        <v>44778</v>
      </c>
      <c r="C67" s="110">
        <f t="shared" si="6"/>
        <v>42.427221190325078</v>
      </c>
      <c r="D67" s="111">
        <f t="shared" si="1"/>
        <v>5.4124477030061291</v>
      </c>
      <c r="E67" s="111">
        <f t="shared" si="7"/>
        <v>0</v>
      </c>
      <c r="F67" s="111">
        <f t="shared" si="8"/>
        <v>0</v>
      </c>
      <c r="G67" s="111">
        <v>0</v>
      </c>
      <c r="H67" s="110">
        <f t="shared" si="9"/>
        <v>47.839668893331208</v>
      </c>
      <c r="I67" s="111">
        <f t="shared" si="2"/>
        <v>7.0712035317208457</v>
      </c>
      <c r="J67" s="110"/>
      <c r="K67" s="110"/>
      <c r="M67" s="103">
        <f t="shared" si="3"/>
        <v>47.839668893331208</v>
      </c>
      <c r="N67" s="110">
        <f t="shared" si="4"/>
        <v>90.122518475131159</v>
      </c>
      <c r="T67" s="118">
        <f t="shared" si="10"/>
        <v>47.839668893331208</v>
      </c>
    </row>
    <row r="68" spans="1:20">
      <c r="A68" s="110">
        <v>47</v>
      </c>
      <c r="B68" s="105">
        <f t="shared" si="5"/>
        <v>44809</v>
      </c>
      <c r="C68" s="110">
        <f t="shared" si="6"/>
        <v>44.159666055596688</v>
      </c>
      <c r="D68" s="111">
        <f t="shared" si="1"/>
        <v>3.6800028377345222</v>
      </c>
      <c r="E68" s="111">
        <f t="shared" si="7"/>
        <v>0</v>
      </c>
      <c r="F68" s="111">
        <f t="shared" si="8"/>
        <v>0</v>
      </c>
      <c r="G68" s="111">
        <v>0</v>
      </c>
      <c r="H68" s="110">
        <f t="shared" si="9"/>
        <v>47.839668893331208</v>
      </c>
      <c r="I68" s="111">
        <f t="shared" si="2"/>
        <v>7.359944342599448</v>
      </c>
      <c r="J68" s="110"/>
      <c r="K68" s="110"/>
      <c r="M68" s="103">
        <f t="shared" si="3"/>
        <v>47.839668893331208</v>
      </c>
      <c r="N68" s="110">
        <f t="shared" si="4"/>
        <v>45.962852419534471</v>
      </c>
      <c r="T68" s="118">
        <f t="shared" si="10"/>
        <v>47.839668893331208</v>
      </c>
    </row>
    <row r="69" spans="1:20">
      <c r="A69" s="110">
        <v>48</v>
      </c>
      <c r="B69" s="105">
        <f t="shared" si="5"/>
        <v>44839</v>
      </c>
      <c r="C69" s="110">
        <f t="shared" si="6"/>
        <v>45.962852419533547</v>
      </c>
      <c r="D69" s="111">
        <f t="shared" si="1"/>
        <v>1.8768164737976576</v>
      </c>
      <c r="E69" s="111">
        <f t="shared" si="7"/>
        <v>0</v>
      </c>
      <c r="F69" s="111">
        <f t="shared" si="8"/>
        <v>0</v>
      </c>
      <c r="G69" s="111">
        <v>0</v>
      </c>
      <c r="H69" s="110">
        <f t="shared" si="9"/>
        <v>47.839668893331208</v>
      </c>
      <c r="I69" s="111">
        <f t="shared" si="2"/>
        <v>7.6604754032555906</v>
      </c>
      <c r="J69" s="110"/>
      <c r="K69" s="110"/>
      <c r="M69" s="103">
        <f t="shared" si="3"/>
        <v>47.839668893331208</v>
      </c>
      <c r="N69" s="110">
        <f t="shared" si="4"/>
        <v>9.2370555648813024E-13</v>
      </c>
      <c r="T69" s="118">
        <f t="shared" si="10"/>
        <v>47.839668893331208</v>
      </c>
    </row>
    <row r="70" spans="1:20">
      <c r="A70" s="110">
        <v>49</v>
      </c>
      <c r="B70" s="105">
        <f t="shared" si="5"/>
        <v>44870</v>
      </c>
      <c r="C70" s="110">
        <f t="shared" si="6"/>
        <v>0</v>
      </c>
      <c r="D70" s="111">
        <f t="shared" si="1"/>
        <v>0</v>
      </c>
      <c r="E70" s="111">
        <f t="shared" si="7"/>
        <v>0</v>
      </c>
      <c r="F70" s="111">
        <f t="shared" si="8"/>
        <v>0</v>
      </c>
      <c r="G70" s="111">
        <v>0</v>
      </c>
      <c r="H70" s="110">
        <f t="shared" si="9"/>
        <v>0</v>
      </c>
      <c r="I70" s="111">
        <f t="shared" si="2"/>
        <v>0</v>
      </c>
      <c r="J70" s="110"/>
      <c r="K70" s="110"/>
      <c r="M70" s="103">
        <f t="shared" si="3"/>
        <v>0</v>
      </c>
      <c r="N70" s="110">
        <f t="shared" si="4"/>
        <v>9.2370555648813024E-13</v>
      </c>
      <c r="T70" s="118"/>
    </row>
    <row r="71" spans="1:20">
      <c r="A71" s="110">
        <v>50</v>
      </c>
      <c r="B71" s="105">
        <f t="shared" si="5"/>
        <v>44900</v>
      </c>
      <c r="C71" s="110">
        <f t="shared" si="6"/>
        <v>0</v>
      </c>
      <c r="D71" s="111">
        <f t="shared" si="1"/>
        <v>0</v>
      </c>
      <c r="E71" s="111">
        <f t="shared" si="7"/>
        <v>0</v>
      </c>
      <c r="F71" s="111">
        <f t="shared" si="8"/>
        <v>0</v>
      </c>
      <c r="G71" s="111">
        <v>0</v>
      </c>
      <c r="H71" s="110">
        <f t="shared" si="9"/>
        <v>0</v>
      </c>
      <c r="I71" s="111">
        <f t="shared" si="2"/>
        <v>0</v>
      </c>
      <c r="J71" s="110"/>
      <c r="K71" s="110"/>
      <c r="M71" s="103">
        <f t="shared" si="3"/>
        <v>0</v>
      </c>
      <c r="N71" s="110">
        <f t="shared" si="4"/>
        <v>9.2370555648813024E-13</v>
      </c>
      <c r="T71" s="118"/>
    </row>
    <row r="72" spans="1:20">
      <c r="A72" s="110">
        <v>51</v>
      </c>
      <c r="B72" s="105">
        <f t="shared" si="5"/>
        <v>44931</v>
      </c>
      <c r="C72" s="110">
        <f t="shared" si="6"/>
        <v>0</v>
      </c>
      <c r="D72" s="111">
        <f t="shared" si="1"/>
        <v>0</v>
      </c>
      <c r="E72" s="111">
        <f t="shared" si="7"/>
        <v>0</v>
      </c>
      <c r="F72" s="111">
        <f t="shared" si="8"/>
        <v>0</v>
      </c>
      <c r="G72" s="111">
        <v>0</v>
      </c>
      <c r="H72" s="110">
        <f t="shared" si="9"/>
        <v>0</v>
      </c>
      <c r="I72" s="111">
        <f t="shared" si="2"/>
        <v>0</v>
      </c>
      <c r="J72" s="110"/>
      <c r="K72" s="110"/>
      <c r="M72" s="103">
        <f t="shared" si="3"/>
        <v>0</v>
      </c>
      <c r="N72" s="110">
        <f t="shared" si="4"/>
        <v>9.2370555648813024E-13</v>
      </c>
      <c r="T72" s="118"/>
    </row>
    <row r="73" spans="1:20">
      <c r="A73" s="110">
        <v>52</v>
      </c>
      <c r="B73" s="105">
        <f t="shared" si="5"/>
        <v>44962</v>
      </c>
      <c r="C73" s="110">
        <f t="shared" si="6"/>
        <v>0</v>
      </c>
      <c r="D73" s="111">
        <f t="shared" si="1"/>
        <v>0</v>
      </c>
      <c r="E73" s="111">
        <f t="shared" si="7"/>
        <v>0</v>
      </c>
      <c r="F73" s="111">
        <f t="shared" si="8"/>
        <v>0</v>
      </c>
      <c r="G73" s="111">
        <v>0</v>
      </c>
      <c r="H73" s="110">
        <f t="shared" si="9"/>
        <v>0</v>
      </c>
      <c r="I73" s="111">
        <f t="shared" si="2"/>
        <v>0</v>
      </c>
      <c r="J73" s="110"/>
      <c r="K73" s="110"/>
      <c r="L73" s="66">
        <v>0</v>
      </c>
      <c r="M73" s="103">
        <f t="shared" si="3"/>
        <v>0</v>
      </c>
      <c r="N73" s="110">
        <f t="shared" si="4"/>
        <v>9.2370555648813024E-13</v>
      </c>
      <c r="T73" s="118"/>
    </row>
    <row r="74" spans="1:20">
      <c r="A74" s="110">
        <v>53</v>
      </c>
      <c r="B74" s="105">
        <f t="shared" si="5"/>
        <v>44990</v>
      </c>
      <c r="C74" s="110">
        <f t="shared" si="6"/>
        <v>0</v>
      </c>
      <c r="D74" s="111">
        <f t="shared" si="1"/>
        <v>0</v>
      </c>
      <c r="E74" s="111">
        <f t="shared" si="7"/>
        <v>0</v>
      </c>
      <c r="F74" s="111">
        <f t="shared" si="8"/>
        <v>0</v>
      </c>
      <c r="G74" s="111">
        <v>0</v>
      </c>
      <c r="H74" s="110">
        <f t="shared" si="9"/>
        <v>0</v>
      </c>
      <c r="I74" s="111">
        <f t="shared" si="2"/>
        <v>0</v>
      </c>
      <c r="J74" s="110"/>
      <c r="K74" s="110"/>
      <c r="M74" s="103">
        <f t="shared" si="3"/>
        <v>0</v>
      </c>
      <c r="N74" s="110">
        <f t="shared" si="4"/>
        <v>9.2370555648813024E-13</v>
      </c>
      <c r="T74" s="118"/>
    </row>
    <row r="75" spans="1:20">
      <c r="A75" s="110">
        <v>54</v>
      </c>
      <c r="B75" s="105">
        <f t="shared" si="5"/>
        <v>45021</v>
      </c>
      <c r="C75" s="110">
        <f t="shared" si="6"/>
        <v>0</v>
      </c>
      <c r="D75" s="111">
        <f t="shared" si="1"/>
        <v>0</v>
      </c>
      <c r="E75" s="111">
        <f t="shared" si="7"/>
        <v>0</v>
      </c>
      <c r="F75" s="111">
        <f t="shared" si="8"/>
        <v>0</v>
      </c>
      <c r="G75" s="111">
        <v>0</v>
      </c>
      <c r="H75" s="110">
        <f t="shared" si="9"/>
        <v>0</v>
      </c>
      <c r="I75" s="111">
        <f t="shared" si="2"/>
        <v>0</v>
      </c>
      <c r="J75" s="110"/>
      <c r="K75" s="110"/>
      <c r="M75" s="103">
        <f t="shared" si="3"/>
        <v>0</v>
      </c>
      <c r="N75" s="110">
        <f t="shared" si="4"/>
        <v>9.2370555648813024E-13</v>
      </c>
      <c r="T75" s="118"/>
    </row>
    <row r="76" spans="1:20">
      <c r="A76" s="110">
        <v>55</v>
      </c>
      <c r="B76" s="105">
        <f t="shared" si="5"/>
        <v>45051</v>
      </c>
      <c r="C76" s="110">
        <f t="shared" si="6"/>
        <v>0</v>
      </c>
      <c r="D76" s="111">
        <f t="shared" si="1"/>
        <v>0</v>
      </c>
      <c r="E76" s="111">
        <f t="shared" si="7"/>
        <v>0</v>
      </c>
      <c r="F76" s="111">
        <f t="shared" si="8"/>
        <v>0</v>
      </c>
      <c r="G76" s="111">
        <v>0</v>
      </c>
      <c r="H76" s="110">
        <f t="shared" si="9"/>
        <v>0</v>
      </c>
      <c r="I76" s="111">
        <f t="shared" si="2"/>
        <v>0</v>
      </c>
      <c r="J76" s="110"/>
      <c r="K76" s="110"/>
      <c r="M76" s="103">
        <f t="shared" si="3"/>
        <v>0</v>
      </c>
      <c r="N76" s="110">
        <f t="shared" si="4"/>
        <v>9.2370555648813024E-13</v>
      </c>
      <c r="T76" s="118"/>
    </row>
    <row r="77" spans="1:20">
      <c r="A77" s="110">
        <v>56</v>
      </c>
      <c r="B77" s="105">
        <f t="shared" si="5"/>
        <v>45082</v>
      </c>
      <c r="C77" s="110">
        <f t="shared" si="6"/>
        <v>0</v>
      </c>
      <c r="D77" s="111">
        <f t="shared" si="1"/>
        <v>0</v>
      </c>
      <c r="E77" s="111">
        <f t="shared" si="7"/>
        <v>0</v>
      </c>
      <c r="F77" s="111">
        <f t="shared" si="8"/>
        <v>0</v>
      </c>
      <c r="G77" s="111">
        <v>0</v>
      </c>
      <c r="H77" s="110">
        <f t="shared" si="9"/>
        <v>0</v>
      </c>
      <c r="I77" s="111">
        <f t="shared" si="2"/>
        <v>0</v>
      </c>
      <c r="J77" s="110"/>
      <c r="K77" s="110"/>
      <c r="M77" s="103">
        <f t="shared" si="3"/>
        <v>0</v>
      </c>
      <c r="N77" s="110">
        <f t="shared" si="4"/>
        <v>9.2370555648813024E-13</v>
      </c>
      <c r="T77" s="118"/>
    </row>
    <row r="78" spans="1:20">
      <c r="A78" s="110">
        <v>57</v>
      </c>
      <c r="B78" s="105">
        <f t="shared" si="5"/>
        <v>45112</v>
      </c>
      <c r="C78" s="110">
        <f t="shared" si="6"/>
        <v>0</v>
      </c>
      <c r="D78" s="111">
        <f t="shared" si="1"/>
        <v>0</v>
      </c>
      <c r="E78" s="111">
        <f t="shared" si="7"/>
        <v>0</v>
      </c>
      <c r="F78" s="111">
        <f>IF(AND(A78&lt;=$F$7,$S$18="ДА"),($F$5*VLOOKUP(ROUNDUP(A78/12,0),$O$7:$Q$15,3,0)/12),0)</f>
        <v>0</v>
      </c>
      <c r="G78" s="111">
        <v>0</v>
      </c>
      <c r="H78" s="110">
        <f t="shared" si="9"/>
        <v>0</v>
      </c>
      <c r="I78" s="111">
        <f t="shared" si="2"/>
        <v>0</v>
      </c>
      <c r="J78" s="110"/>
      <c r="K78" s="110"/>
      <c r="M78" s="103">
        <f t="shared" si="3"/>
        <v>0</v>
      </c>
      <c r="N78" s="110">
        <f t="shared" si="4"/>
        <v>9.2370555648813024E-13</v>
      </c>
      <c r="T78" s="118"/>
    </row>
    <row r="79" spans="1:20">
      <c r="A79" s="110">
        <v>58</v>
      </c>
      <c r="B79" s="105">
        <f t="shared" si="5"/>
        <v>45143</v>
      </c>
      <c r="C79" s="110">
        <f t="shared" si="6"/>
        <v>0</v>
      </c>
      <c r="D79" s="111">
        <f t="shared" si="1"/>
        <v>0</v>
      </c>
      <c r="E79" s="111">
        <f t="shared" si="7"/>
        <v>0</v>
      </c>
      <c r="F79" s="111">
        <f t="shared" si="8"/>
        <v>0</v>
      </c>
      <c r="G79" s="111">
        <v>0</v>
      </c>
      <c r="H79" s="110">
        <f t="shared" si="9"/>
        <v>0</v>
      </c>
      <c r="I79" s="111">
        <f t="shared" si="2"/>
        <v>0</v>
      </c>
      <c r="J79" s="110"/>
      <c r="K79" s="110"/>
      <c r="M79" s="103">
        <f t="shared" si="3"/>
        <v>0</v>
      </c>
      <c r="N79" s="110">
        <f t="shared" si="4"/>
        <v>9.2370555648813024E-13</v>
      </c>
      <c r="T79" s="118"/>
    </row>
    <row r="80" spans="1:20">
      <c r="A80" s="110">
        <v>59</v>
      </c>
      <c r="B80" s="105">
        <f t="shared" si="5"/>
        <v>45174</v>
      </c>
      <c r="C80" s="110">
        <f t="shared" si="6"/>
        <v>0</v>
      </c>
      <c r="D80" s="111">
        <f t="shared" si="1"/>
        <v>0</v>
      </c>
      <c r="E80" s="111">
        <f t="shared" si="7"/>
        <v>0</v>
      </c>
      <c r="F80" s="111">
        <f t="shared" si="8"/>
        <v>0</v>
      </c>
      <c r="G80" s="111">
        <v>0</v>
      </c>
      <c r="H80" s="110">
        <f t="shared" si="9"/>
        <v>0</v>
      </c>
      <c r="I80" s="111">
        <f t="shared" si="2"/>
        <v>0</v>
      </c>
      <c r="J80" s="110"/>
      <c r="K80" s="110"/>
      <c r="M80" s="103">
        <f t="shared" si="3"/>
        <v>0</v>
      </c>
      <c r="N80" s="110">
        <f t="shared" si="4"/>
        <v>9.2370555648813024E-13</v>
      </c>
      <c r="T80" s="118"/>
    </row>
    <row r="81" spans="1:20">
      <c r="A81" s="110">
        <v>60</v>
      </c>
      <c r="B81" s="105">
        <f t="shared" si="5"/>
        <v>45204</v>
      </c>
      <c r="C81" s="110">
        <f>IF(A81&lt;=$F$7,(IF($F$6&lt;=40%,IF($F$9=$I$6,(-$C$21-$F$5*$K$15)/$F$7+IF(A81=$F$7,$F$5*$K$15,0),MINA(((N80-$F$5*$K$15)/($F$7-A81+1)*$F$12),(N80-$F$5*$K$15))+IF(A81=$F$7,$F$5*$K$15,0)),IF(A81=1,F66*(F67-40%),IF($F$9=$I$6,(-$C$21-$F$5*$K$15)/$F$7+IF(A81=$F$7,$F$5*$K$15,0),MINA(((N80-$F$5*$K$15)/($F$7-A81+1)*$F$10),(N80-$F$5*$K$15))+IF(A81=$F$7,$F$5*$K$15,0))))),0)</f>
        <v>0</v>
      </c>
      <c r="D81" s="111">
        <f t="shared" si="1"/>
        <v>0</v>
      </c>
      <c r="E81" s="111">
        <f t="shared" si="7"/>
        <v>0</v>
      </c>
      <c r="F81" s="111">
        <f t="shared" si="8"/>
        <v>0</v>
      </c>
      <c r="G81" s="111">
        <v>0</v>
      </c>
      <c r="H81" s="110">
        <f t="shared" si="9"/>
        <v>0</v>
      </c>
      <c r="I81" s="111">
        <f t="shared" si="2"/>
        <v>0</v>
      </c>
      <c r="J81" s="110"/>
      <c r="K81" s="110"/>
      <c r="M81" s="103">
        <f t="shared" si="3"/>
        <v>0</v>
      </c>
      <c r="N81" s="110">
        <f t="shared" si="4"/>
        <v>9.2370555648813024E-13</v>
      </c>
      <c r="T81" s="118"/>
    </row>
    <row r="82" spans="1:20">
      <c r="A82" s="110">
        <v>61</v>
      </c>
      <c r="B82" s="105">
        <f t="shared" si="5"/>
        <v>45235</v>
      </c>
      <c r="C82" s="110">
        <f t="shared" ref="C82:C105" si="11">IF(A82&lt;=$F$7,(IF($F$6&lt;=40%,IF($F$9=$I$6,(-$C$21-$F$5*$K$15)/$F$7+IF(A82=$F$7,$F$5*$K$15,0),MINA(((N81-$F$5*$K$15)/($F$7-A82+1)*$F$10),(N81-$F$5*$K$15))+IF(A82=$F$7,$F$5*$K$15,0)),IF(A82=1,F67*(F68-40%),IF($F$9=$I$6,(-$C$21-$F$5*$K$15)/$F$7+IF(A82=$F$7,$F$5*$K$15,0),MINA(((N81-$F$5*$K$15)/($F$7-A82+1)*$F$10),(N81-$F$5*$K$15))+IF(A82=$F$7,$F$5*$K$15,0))))),0)</f>
        <v>0</v>
      </c>
      <c r="D82" s="111">
        <f t="shared" si="1"/>
        <v>0</v>
      </c>
      <c r="E82" s="111">
        <f t="shared" si="7"/>
        <v>0</v>
      </c>
      <c r="F82" s="111">
        <f t="shared" si="8"/>
        <v>0</v>
      </c>
      <c r="G82" s="111">
        <f>IF(A82&lt;=$F$7,$F$5*VLOOKUP(ROUNDUP(A82/12,0),$O$7:$R$15,4,0)/12,0)-F82</f>
        <v>0</v>
      </c>
      <c r="H82" s="110">
        <f t="shared" si="9"/>
        <v>0</v>
      </c>
      <c r="I82" s="111">
        <f t="shared" si="2"/>
        <v>0</v>
      </c>
      <c r="J82" s="110"/>
      <c r="K82" s="110"/>
      <c r="M82" s="103">
        <f t="shared" si="3"/>
        <v>0</v>
      </c>
      <c r="N82" s="110">
        <f t="shared" si="4"/>
        <v>9.2370555648813024E-13</v>
      </c>
    </row>
    <row r="83" spans="1:20">
      <c r="A83" s="110">
        <v>62</v>
      </c>
      <c r="B83" s="105">
        <f t="shared" si="5"/>
        <v>45265</v>
      </c>
      <c r="C83" s="110">
        <f t="shared" si="11"/>
        <v>0</v>
      </c>
      <c r="D83" s="111">
        <f t="shared" si="1"/>
        <v>0</v>
      </c>
      <c r="E83" s="111">
        <f t="shared" si="7"/>
        <v>0</v>
      </c>
      <c r="F83" s="111">
        <f t="shared" ref="F83:F105" si="12">IF(A83&lt;=$F$7,$F$5*VLOOKUP(ROUNDUP(A83/12,0),$O$7:$Q$15,3,0)/12,0)</f>
        <v>0</v>
      </c>
      <c r="G83" s="111">
        <f>IF(A83&lt;=$F$7,$F$5*VLOOKUP(ROUNDUP(A83/12,0),$O$7:$R$15,4,0)/12,0)-F83</f>
        <v>0</v>
      </c>
      <c r="H83" s="110">
        <f t="shared" si="9"/>
        <v>0</v>
      </c>
      <c r="I83" s="111">
        <f t="shared" si="2"/>
        <v>0</v>
      </c>
      <c r="J83" s="110"/>
      <c r="K83" s="110"/>
      <c r="M83" s="103">
        <f t="shared" si="3"/>
        <v>0</v>
      </c>
      <c r="N83" s="110">
        <f t="shared" si="4"/>
        <v>9.2370555648813024E-13</v>
      </c>
    </row>
    <row r="84" spans="1:20">
      <c r="A84" s="110">
        <v>63</v>
      </c>
      <c r="B84" s="105">
        <f t="shared" si="5"/>
        <v>45296</v>
      </c>
      <c r="C84" s="110">
        <f t="shared" si="11"/>
        <v>0</v>
      </c>
      <c r="D84" s="111">
        <f t="shared" si="1"/>
        <v>0</v>
      </c>
      <c r="E84" s="111">
        <f t="shared" si="7"/>
        <v>0</v>
      </c>
      <c r="F84" s="111">
        <f t="shared" si="12"/>
        <v>0</v>
      </c>
      <c r="G84" s="111">
        <f>IF(A84&lt;=$F$7,$F$5*VLOOKUP(ROUNDUP(A84/12,0),$O$7:$R$15,4,0)/12,0)-F84</f>
        <v>0</v>
      </c>
      <c r="H84" s="110">
        <f t="shared" si="9"/>
        <v>0</v>
      </c>
      <c r="I84" s="111">
        <f t="shared" si="2"/>
        <v>0</v>
      </c>
      <c r="J84" s="110"/>
      <c r="K84" s="110"/>
      <c r="M84" s="103">
        <f t="shared" si="3"/>
        <v>0</v>
      </c>
      <c r="N84" s="110">
        <f t="shared" si="4"/>
        <v>9.2370555648813024E-13</v>
      </c>
    </row>
    <row r="85" spans="1:20">
      <c r="A85" s="110">
        <v>64</v>
      </c>
      <c r="B85" s="105">
        <f t="shared" si="5"/>
        <v>45327</v>
      </c>
      <c r="C85" s="110">
        <f t="shared" si="11"/>
        <v>0</v>
      </c>
      <c r="D85" s="111">
        <f t="shared" si="1"/>
        <v>0</v>
      </c>
      <c r="E85" s="111">
        <f t="shared" si="7"/>
        <v>0</v>
      </c>
      <c r="F85" s="111">
        <f t="shared" si="12"/>
        <v>0</v>
      </c>
      <c r="G85" s="111">
        <f>IF(A85&lt;=$F$7,$F$5*VLOOKUP(ROUNDUP(A85/12,0),$O$7:$R$15,4,0)/12,0)-F85</f>
        <v>0</v>
      </c>
      <c r="H85" s="110">
        <f t="shared" si="9"/>
        <v>0</v>
      </c>
      <c r="I85" s="111">
        <f t="shared" si="2"/>
        <v>0</v>
      </c>
      <c r="J85" s="110"/>
      <c r="K85" s="110"/>
      <c r="M85" s="103">
        <f t="shared" si="3"/>
        <v>0</v>
      </c>
      <c r="N85" s="110">
        <f t="shared" si="4"/>
        <v>9.2370555648813024E-13</v>
      </c>
    </row>
    <row r="86" spans="1:20">
      <c r="A86" s="110">
        <v>65</v>
      </c>
      <c r="B86" s="105">
        <f t="shared" si="5"/>
        <v>45356</v>
      </c>
      <c r="C86" s="110">
        <f t="shared" si="11"/>
        <v>0</v>
      </c>
      <c r="D86" s="111">
        <f t="shared" ref="D86:D105" si="13">IF(A86&lt;=$F$7,IF($F$13=$I$9,$F$5*$F$14,N85*$F$15/12),0)+-IF(AND(A86&lt;=$M$9,$M$9&lt;&gt;0),$J$21/$M$9,0)+-IF(AND(A86&lt;=$M$10,$M$10&lt;&gt;0),$K$21/$M$10,0)</f>
        <v>0</v>
      </c>
      <c r="E86" s="111">
        <f t="shared" si="7"/>
        <v>0</v>
      </c>
      <c r="F86" s="111">
        <f t="shared" si="12"/>
        <v>0</v>
      </c>
      <c r="G86" s="111">
        <f>IF(A86&lt;=$F$7,$F$5*VLOOKUP(ROUNDUP(A86/12,0),$O$7:$R$15,4,0)/12,0)-F86</f>
        <v>0</v>
      </c>
      <c r="H86" s="110">
        <f t="shared" si="9"/>
        <v>0</v>
      </c>
      <c r="I86" s="111">
        <f t="shared" ref="I86:I105" si="14">C86*20/120</f>
        <v>0</v>
      </c>
      <c r="J86" s="110"/>
      <c r="K86" s="110"/>
      <c r="M86" s="103">
        <f t="shared" ref="M86:M105" si="15">SUM(C86,D86,G86,J86,K86,L86)</f>
        <v>0</v>
      </c>
      <c r="N86" s="110">
        <f t="shared" ref="N86:N105" si="16">N85-C86</f>
        <v>9.2370555648813024E-13</v>
      </c>
    </row>
    <row r="87" spans="1:20">
      <c r="A87" s="110">
        <v>66</v>
      </c>
      <c r="B87" s="105">
        <f t="shared" ref="B87:B105" si="17">EOMONTH(B86,0)+DAY(B86)</f>
        <v>45387</v>
      </c>
      <c r="C87" s="110">
        <f t="shared" si="11"/>
        <v>0</v>
      </c>
      <c r="D87" s="111">
        <f t="shared" si="13"/>
        <v>0</v>
      </c>
      <c r="E87" s="111">
        <f t="shared" ref="E87:E99" si="18">IF($R$18="ЮЛ",D87*0.2,0)</f>
        <v>0</v>
      </c>
      <c r="F87" s="111">
        <f t="shared" si="12"/>
        <v>0</v>
      </c>
      <c r="G87" s="111">
        <f t="shared" ref="G87:G105" si="19">IF(A87&lt;=$F$7,$F$5*VLOOKUP(ROUNDUP(A87/12,0),$O$7:$R$15,4,0)/12,0)-F87</f>
        <v>0</v>
      </c>
      <c r="H87" s="110">
        <f t="shared" ref="H87:H105" si="20">SUM(C87:G87)+SUM(C87:G87)*$F$16</f>
        <v>0</v>
      </c>
      <c r="I87" s="111">
        <f t="shared" si="14"/>
        <v>0</v>
      </c>
      <c r="J87" s="110"/>
      <c r="K87" s="110"/>
      <c r="M87" s="103">
        <f t="shared" si="15"/>
        <v>0</v>
      </c>
      <c r="N87" s="110">
        <f t="shared" si="16"/>
        <v>9.2370555648813024E-13</v>
      </c>
    </row>
    <row r="88" spans="1:20">
      <c r="A88" s="110">
        <v>67</v>
      </c>
      <c r="B88" s="105">
        <f t="shared" si="17"/>
        <v>45417</v>
      </c>
      <c r="C88" s="110">
        <f t="shared" si="11"/>
        <v>0</v>
      </c>
      <c r="D88" s="111">
        <f t="shared" si="13"/>
        <v>0</v>
      </c>
      <c r="E88" s="111">
        <f t="shared" si="18"/>
        <v>0</v>
      </c>
      <c r="F88" s="111">
        <f t="shared" si="12"/>
        <v>0</v>
      </c>
      <c r="G88" s="111">
        <f t="shared" si="19"/>
        <v>0</v>
      </c>
      <c r="H88" s="110">
        <f t="shared" si="20"/>
        <v>0</v>
      </c>
      <c r="I88" s="111">
        <f t="shared" si="14"/>
        <v>0</v>
      </c>
      <c r="J88" s="110"/>
      <c r="K88" s="110"/>
      <c r="M88" s="103">
        <f t="shared" si="15"/>
        <v>0</v>
      </c>
      <c r="N88" s="110">
        <f t="shared" si="16"/>
        <v>9.2370555648813024E-13</v>
      </c>
    </row>
    <row r="89" spans="1:20">
      <c r="A89" s="110">
        <v>68</v>
      </c>
      <c r="B89" s="105">
        <f t="shared" si="17"/>
        <v>45448</v>
      </c>
      <c r="C89" s="110">
        <f t="shared" si="11"/>
        <v>0</v>
      </c>
      <c r="D89" s="111">
        <f t="shared" si="13"/>
        <v>0</v>
      </c>
      <c r="E89" s="111">
        <f t="shared" si="18"/>
        <v>0</v>
      </c>
      <c r="F89" s="111">
        <f t="shared" si="12"/>
        <v>0</v>
      </c>
      <c r="G89" s="111">
        <f t="shared" si="19"/>
        <v>0</v>
      </c>
      <c r="H89" s="110">
        <f t="shared" si="20"/>
        <v>0</v>
      </c>
      <c r="I89" s="111">
        <f t="shared" si="14"/>
        <v>0</v>
      </c>
      <c r="J89" s="110"/>
      <c r="K89" s="110"/>
      <c r="M89" s="103">
        <f t="shared" si="15"/>
        <v>0</v>
      </c>
      <c r="N89" s="110">
        <f t="shared" si="16"/>
        <v>9.2370555648813024E-13</v>
      </c>
    </row>
    <row r="90" spans="1:20">
      <c r="A90" s="110">
        <v>69</v>
      </c>
      <c r="B90" s="105">
        <f t="shared" si="17"/>
        <v>45478</v>
      </c>
      <c r="C90" s="110">
        <f t="shared" si="11"/>
        <v>0</v>
      </c>
      <c r="D90" s="111">
        <f t="shared" si="13"/>
        <v>0</v>
      </c>
      <c r="E90" s="111">
        <f t="shared" si="18"/>
        <v>0</v>
      </c>
      <c r="F90" s="111">
        <f t="shared" si="12"/>
        <v>0</v>
      </c>
      <c r="G90" s="111">
        <f t="shared" si="19"/>
        <v>0</v>
      </c>
      <c r="H90" s="110">
        <f t="shared" si="20"/>
        <v>0</v>
      </c>
      <c r="I90" s="111">
        <f t="shared" si="14"/>
        <v>0</v>
      </c>
      <c r="J90" s="110"/>
      <c r="K90" s="110"/>
      <c r="M90" s="103">
        <f t="shared" si="15"/>
        <v>0</v>
      </c>
      <c r="N90" s="110">
        <f t="shared" si="16"/>
        <v>9.2370555648813024E-13</v>
      </c>
    </row>
    <row r="91" spans="1:20">
      <c r="A91" s="110">
        <v>70</v>
      </c>
      <c r="B91" s="105">
        <f t="shared" si="17"/>
        <v>45509</v>
      </c>
      <c r="C91" s="110">
        <f t="shared" si="11"/>
        <v>0</v>
      </c>
      <c r="D91" s="111">
        <f t="shared" si="13"/>
        <v>0</v>
      </c>
      <c r="E91" s="111">
        <f t="shared" si="18"/>
        <v>0</v>
      </c>
      <c r="F91" s="111">
        <f t="shared" si="12"/>
        <v>0</v>
      </c>
      <c r="G91" s="111">
        <f t="shared" si="19"/>
        <v>0</v>
      </c>
      <c r="H91" s="110">
        <f t="shared" si="20"/>
        <v>0</v>
      </c>
      <c r="I91" s="111">
        <f t="shared" si="14"/>
        <v>0</v>
      </c>
      <c r="J91" s="110"/>
      <c r="K91" s="110"/>
      <c r="M91" s="103">
        <f t="shared" si="15"/>
        <v>0</v>
      </c>
      <c r="N91" s="110">
        <f t="shared" si="16"/>
        <v>9.2370555648813024E-13</v>
      </c>
    </row>
    <row r="92" spans="1:20">
      <c r="A92" s="110">
        <v>71</v>
      </c>
      <c r="B92" s="105">
        <f t="shared" si="17"/>
        <v>45540</v>
      </c>
      <c r="C92" s="110">
        <f t="shared" si="11"/>
        <v>0</v>
      </c>
      <c r="D92" s="111">
        <f t="shared" si="13"/>
        <v>0</v>
      </c>
      <c r="E92" s="111">
        <f t="shared" si="18"/>
        <v>0</v>
      </c>
      <c r="F92" s="111">
        <f t="shared" si="12"/>
        <v>0</v>
      </c>
      <c r="G92" s="111">
        <f t="shared" si="19"/>
        <v>0</v>
      </c>
      <c r="H92" s="110">
        <f t="shared" si="20"/>
        <v>0</v>
      </c>
      <c r="I92" s="111">
        <f t="shared" si="14"/>
        <v>0</v>
      </c>
      <c r="J92" s="110"/>
      <c r="K92" s="110"/>
      <c r="M92" s="103">
        <f t="shared" si="15"/>
        <v>0</v>
      </c>
      <c r="N92" s="110">
        <f t="shared" si="16"/>
        <v>9.2370555648813024E-13</v>
      </c>
    </row>
    <row r="93" spans="1:20">
      <c r="A93" s="110">
        <v>72</v>
      </c>
      <c r="B93" s="105">
        <f t="shared" si="17"/>
        <v>45570</v>
      </c>
      <c r="C93" s="110">
        <f t="shared" si="11"/>
        <v>0</v>
      </c>
      <c r="D93" s="111">
        <f t="shared" si="13"/>
        <v>0</v>
      </c>
      <c r="E93" s="111">
        <f t="shared" si="18"/>
        <v>0</v>
      </c>
      <c r="F93" s="111">
        <f t="shared" si="12"/>
        <v>0</v>
      </c>
      <c r="G93" s="111">
        <f t="shared" si="19"/>
        <v>0</v>
      </c>
      <c r="H93" s="110">
        <f t="shared" si="20"/>
        <v>0</v>
      </c>
      <c r="I93" s="111">
        <f t="shared" si="14"/>
        <v>0</v>
      </c>
      <c r="J93" s="110"/>
      <c r="K93" s="110"/>
      <c r="M93" s="103">
        <f t="shared" si="15"/>
        <v>0</v>
      </c>
      <c r="N93" s="110">
        <f t="shared" si="16"/>
        <v>9.2370555648813024E-13</v>
      </c>
    </row>
    <row r="94" spans="1:20">
      <c r="A94" s="110">
        <v>73</v>
      </c>
      <c r="B94" s="105">
        <f t="shared" si="17"/>
        <v>45601</v>
      </c>
      <c r="C94" s="110">
        <f t="shared" si="11"/>
        <v>0</v>
      </c>
      <c r="D94" s="111">
        <f t="shared" si="13"/>
        <v>0</v>
      </c>
      <c r="E94" s="111">
        <f t="shared" si="18"/>
        <v>0</v>
      </c>
      <c r="F94" s="111">
        <f t="shared" si="12"/>
        <v>0</v>
      </c>
      <c r="G94" s="111">
        <f t="shared" si="19"/>
        <v>0</v>
      </c>
      <c r="H94" s="110">
        <f t="shared" si="20"/>
        <v>0</v>
      </c>
      <c r="I94" s="111">
        <f t="shared" si="14"/>
        <v>0</v>
      </c>
      <c r="J94" s="110"/>
      <c r="K94" s="110"/>
      <c r="M94" s="103">
        <f t="shared" si="15"/>
        <v>0</v>
      </c>
      <c r="N94" s="110">
        <f t="shared" si="16"/>
        <v>9.2370555648813024E-13</v>
      </c>
    </row>
    <row r="95" spans="1:20">
      <c r="A95" s="110">
        <v>74</v>
      </c>
      <c r="B95" s="105">
        <f t="shared" si="17"/>
        <v>45631</v>
      </c>
      <c r="C95" s="110">
        <f t="shared" si="11"/>
        <v>0</v>
      </c>
      <c r="D95" s="111">
        <f t="shared" si="13"/>
        <v>0</v>
      </c>
      <c r="E95" s="111">
        <f t="shared" si="18"/>
        <v>0</v>
      </c>
      <c r="F95" s="111">
        <f t="shared" si="12"/>
        <v>0</v>
      </c>
      <c r="G95" s="111">
        <f t="shared" si="19"/>
        <v>0</v>
      </c>
      <c r="H95" s="110">
        <f t="shared" si="20"/>
        <v>0</v>
      </c>
      <c r="I95" s="111">
        <f t="shared" si="14"/>
        <v>0</v>
      </c>
      <c r="J95" s="110"/>
      <c r="K95" s="110"/>
      <c r="M95" s="103">
        <f t="shared" si="15"/>
        <v>0</v>
      </c>
      <c r="N95" s="110">
        <f t="shared" si="16"/>
        <v>9.2370555648813024E-13</v>
      </c>
    </row>
    <row r="96" spans="1:20">
      <c r="A96" s="110">
        <v>75</v>
      </c>
      <c r="B96" s="105">
        <f t="shared" si="17"/>
        <v>45662</v>
      </c>
      <c r="C96" s="110">
        <f t="shared" si="11"/>
        <v>0</v>
      </c>
      <c r="D96" s="111">
        <f t="shared" si="13"/>
        <v>0</v>
      </c>
      <c r="E96" s="111">
        <f t="shared" si="18"/>
        <v>0</v>
      </c>
      <c r="F96" s="111">
        <f t="shared" si="12"/>
        <v>0</v>
      </c>
      <c r="G96" s="111">
        <f t="shared" si="19"/>
        <v>0</v>
      </c>
      <c r="H96" s="110">
        <f t="shared" si="20"/>
        <v>0</v>
      </c>
      <c r="I96" s="111">
        <f t="shared" si="14"/>
        <v>0</v>
      </c>
      <c r="J96" s="110"/>
      <c r="K96" s="110"/>
      <c r="M96" s="103">
        <f t="shared" si="15"/>
        <v>0</v>
      </c>
      <c r="N96" s="110">
        <f t="shared" si="16"/>
        <v>9.2370555648813024E-13</v>
      </c>
    </row>
    <row r="97" spans="1:14">
      <c r="A97" s="110">
        <v>76</v>
      </c>
      <c r="B97" s="105">
        <f t="shared" si="17"/>
        <v>45693</v>
      </c>
      <c r="C97" s="110">
        <f t="shared" si="11"/>
        <v>0</v>
      </c>
      <c r="D97" s="111">
        <f t="shared" si="13"/>
        <v>0</v>
      </c>
      <c r="E97" s="111">
        <f t="shared" si="18"/>
        <v>0</v>
      </c>
      <c r="F97" s="111">
        <f t="shared" si="12"/>
        <v>0</v>
      </c>
      <c r="G97" s="111">
        <f t="shared" si="19"/>
        <v>0</v>
      </c>
      <c r="H97" s="110">
        <f t="shared" si="20"/>
        <v>0</v>
      </c>
      <c r="I97" s="111">
        <f t="shared" si="14"/>
        <v>0</v>
      </c>
      <c r="J97" s="110"/>
      <c r="K97" s="110"/>
      <c r="M97" s="103">
        <f t="shared" si="15"/>
        <v>0</v>
      </c>
      <c r="N97" s="110">
        <f t="shared" si="16"/>
        <v>9.2370555648813024E-13</v>
      </c>
    </row>
    <row r="98" spans="1:14">
      <c r="A98" s="110">
        <v>77</v>
      </c>
      <c r="B98" s="105">
        <f t="shared" si="17"/>
        <v>45721</v>
      </c>
      <c r="C98" s="110">
        <f t="shared" si="11"/>
        <v>0</v>
      </c>
      <c r="D98" s="111">
        <f t="shared" si="13"/>
        <v>0</v>
      </c>
      <c r="E98" s="111">
        <f t="shared" si="18"/>
        <v>0</v>
      </c>
      <c r="F98" s="111">
        <f t="shared" si="12"/>
        <v>0</v>
      </c>
      <c r="G98" s="111">
        <f t="shared" si="19"/>
        <v>0</v>
      </c>
      <c r="H98" s="110">
        <f t="shared" si="20"/>
        <v>0</v>
      </c>
      <c r="I98" s="111">
        <f t="shared" si="14"/>
        <v>0</v>
      </c>
      <c r="J98" s="110"/>
      <c r="K98" s="110"/>
      <c r="M98" s="103">
        <f t="shared" si="15"/>
        <v>0</v>
      </c>
      <c r="N98" s="110">
        <f t="shared" si="16"/>
        <v>9.2370555648813024E-13</v>
      </c>
    </row>
    <row r="99" spans="1:14">
      <c r="A99" s="110">
        <v>78</v>
      </c>
      <c r="B99" s="105">
        <f t="shared" si="17"/>
        <v>45752</v>
      </c>
      <c r="C99" s="110">
        <f t="shared" si="11"/>
        <v>0</v>
      </c>
      <c r="D99" s="111">
        <f t="shared" si="13"/>
        <v>0</v>
      </c>
      <c r="E99" s="111">
        <f t="shared" si="18"/>
        <v>0</v>
      </c>
      <c r="F99" s="111">
        <f t="shared" si="12"/>
        <v>0</v>
      </c>
      <c r="G99" s="111">
        <f t="shared" si="19"/>
        <v>0</v>
      </c>
      <c r="H99" s="110">
        <f t="shared" si="20"/>
        <v>0</v>
      </c>
      <c r="I99" s="111">
        <f t="shared" si="14"/>
        <v>0</v>
      </c>
      <c r="J99" s="110"/>
      <c r="K99" s="110"/>
      <c r="M99" s="103">
        <f t="shared" si="15"/>
        <v>0</v>
      </c>
      <c r="N99" s="110">
        <f t="shared" si="16"/>
        <v>9.2370555648813024E-13</v>
      </c>
    </row>
    <row r="100" spans="1:14">
      <c r="A100" s="110">
        <v>79</v>
      </c>
      <c r="B100" s="105">
        <f t="shared" si="17"/>
        <v>45782</v>
      </c>
      <c r="C100" s="110">
        <f t="shared" si="11"/>
        <v>0</v>
      </c>
      <c r="D100" s="111">
        <f t="shared" si="13"/>
        <v>0</v>
      </c>
      <c r="E100" s="111">
        <f t="shared" ref="E100:E105" si="21">D100*0.2</f>
        <v>0</v>
      </c>
      <c r="F100" s="111">
        <f t="shared" si="12"/>
        <v>0</v>
      </c>
      <c r="G100" s="111">
        <f t="shared" si="19"/>
        <v>0</v>
      </c>
      <c r="H100" s="110">
        <f t="shared" si="20"/>
        <v>0</v>
      </c>
      <c r="I100" s="111">
        <f t="shared" si="14"/>
        <v>0</v>
      </c>
      <c r="J100" s="110"/>
      <c r="K100" s="110"/>
      <c r="M100" s="103">
        <f t="shared" si="15"/>
        <v>0</v>
      </c>
      <c r="N100" s="110">
        <f t="shared" si="16"/>
        <v>9.2370555648813024E-13</v>
      </c>
    </row>
    <row r="101" spans="1:14">
      <c r="A101" s="110">
        <v>80</v>
      </c>
      <c r="B101" s="105">
        <f t="shared" si="17"/>
        <v>45813</v>
      </c>
      <c r="C101" s="110">
        <f t="shared" si="11"/>
        <v>0</v>
      </c>
      <c r="D101" s="111">
        <f t="shared" si="13"/>
        <v>0</v>
      </c>
      <c r="E101" s="111">
        <f t="shared" si="21"/>
        <v>0</v>
      </c>
      <c r="F101" s="111">
        <f t="shared" si="12"/>
        <v>0</v>
      </c>
      <c r="G101" s="111">
        <f t="shared" si="19"/>
        <v>0</v>
      </c>
      <c r="H101" s="110">
        <f t="shared" si="20"/>
        <v>0</v>
      </c>
      <c r="I101" s="111">
        <f t="shared" si="14"/>
        <v>0</v>
      </c>
      <c r="J101" s="110"/>
      <c r="K101" s="110"/>
      <c r="M101" s="103">
        <f t="shared" si="15"/>
        <v>0</v>
      </c>
      <c r="N101" s="110">
        <f t="shared" si="16"/>
        <v>9.2370555648813024E-13</v>
      </c>
    </row>
    <row r="102" spans="1:14">
      <c r="A102" s="110">
        <v>81</v>
      </c>
      <c r="B102" s="105">
        <f t="shared" si="17"/>
        <v>45843</v>
      </c>
      <c r="C102" s="110">
        <f t="shared" si="11"/>
        <v>0</v>
      </c>
      <c r="D102" s="111">
        <f t="shared" si="13"/>
        <v>0</v>
      </c>
      <c r="E102" s="111">
        <f t="shared" si="21"/>
        <v>0</v>
      </c>
      <c r="F102" s="111">
        <f t="shared" si="12"/>
        <v>0</v>
      </c>
      <c r="G102" s="111">
        <f t="shared" si="19"/>
        <v>0</v>
      </c>
      <c r="H102" s="110">
        <f t="shared" si="20"/>
        <v>0</v>
      </c>
      <c r="I102" s="111">
        <f t="shared" si="14"/>
        <v>0</v>
      </c>
      <c r="J102" s="110"/>
      <c r="K102" s="110"/>
      <c r="M102" s="103">
        <f t="shared" si="15"/>
        <v>0</v>
      </c>
      <c r="N102" s="110">
        <f t="shared" si="16"/>
        <v>9.2370555648813024E-13</v>
      </c>
    </row>
    <row r="103" spans="1:14">
      <c r="A103" s="110">
        <v>82</v>
      </c>
      <c r="B103" s="105">
        <f t="shared" si="17"/>
        <v>45874</v>
      </c>
      <c r="C103" s="110">
        <f t="shared" si="11"/>
        <v>0</v>
      </c>
      <c r="D103" s="111">
        <f t="shared" si="13"/>
        <v>0</v>
      </c>
      <c r="E103" s="111">
        <f t="shared" si="21"/>
        <v>0</v>
      </c>
      <c r="F103" s="111">
        <f t="shared" si="12"/>
        <v>0</v>
      </c>
      <c r="G103" s="111">
        <f t="shared" si="19"/>
        <v>0</v>
      </c>
      <c r="H103" s="110">
        <f t="shared" si="20"/>
        <v>0</v>
      </c>
      <c r="I103" s="111">
        <f t="shared" si="14"/>
        <v>0</v>
      </c>
      <c r="J103" s="110"/>
      <c r="K103" s="110"/>
      <c r="M103" s="103">
        <f t="shared" si="15"/>
        <v>0</v>
      </c>
      <c r="N103" s="110">
        <f t="shared" si="16"/>
        <v>9.2370555648813024E-13</v>
      </c>
    </row>
    <row r="104" spans="1:14">
      <c r="A104" s="110">
        <v>83</v>
      </c>
      <c r="B104" s="105">
        <f t="shared" si="17"/>
        <v>45905</v>
      </c>
      <c r="C104" s="110">
        <f t="shared" si="11"/>
        <v>0</v>
      </c>
      <c r="D104" s="111">
        <f t="shared" si="13"/>
        <v>0</v>
      </c>
      <c r="E104" s="111">
        <f t="shared" si="21"/>
        <v>0</v>
      </c>
      <c r="F104" s="111">
        <f t="shared" si="12"/>
        <v>0</v>
      </c>
      <c r="G104" s="111">
        <f t="shared" si="19"/>
        <v>0</v>
      </c>
      <c r="H104" s="110">
        <f t="shared" si="20"/>
        <v>0</v>
      </c>
      <c r="I104" s="111">
        <f t="shared" si="14"/>
        <v>0</v>
      </c>
      <c r="J104" s="110"/>
      <c r="K104" s="110"/>
      <c r="M104" s="103">
        <f t="shared" si="15"/>
        <v>0</v>
      </c>
      <c r="N104" s="110">
        <f t="shared" si="16"/>
        <v>9.2370555648813024E-13</v>
      </c>
    </row>
    <row r="105" spans="1:14">
      <c r="A105" s="110">
        <v>84</v>
      </c>
      <c r="B105" s="105">
        <f t="shared" si="17"/>
        <v>45935</v>
      </c>
      <c r="C105" s="110">
        <f t="shared" si="11"/>
        <v>0</v>
      </c>
      <c r="D105" s="111">
        <f t="shared" si="13"/>
        <v>0</v>
      </c>
      <c r="E105" s="111">
        <f t="shared" si="21"/>
        <v>0</v>
      </c>
      <c r="F105" s="111">
        <f t="shared" si="12"/>
        <v>0</v>
      </c>
      <c r="G105" s="111">
        <f t="shared" si="19"/>
        <v>0</v>
      </c>
      <c r="H105" s="110">
        <f t="shared" si="20"/>
        <v>0</v>
      </c>
      <c r="I105" s="111">
        <f t="shared" si="14"/>
        <v>0</v>
      </c>
      <c r="J105" s="110"/>
      <c r="K105" s="110"/>
      <c r="M105" s="103">
        <f t="shared" si="15"/>
        <v>0</v>
      </c>
      <c r="N105" s="110">
        <f t="shared" si="16"/>
        <v>9.2370555648813024E-13</v>
      </c>
    </row>
    <row r="107" spans="1:14">
      <c r="B107" s="117"/>
    </row>
    <row r="108" spans="1:14">
      <c r="B108" s="111"/>
    </row>
  </sheetData>
  <conditionalFormatting sqref="B19">
    <cfRule type="cellIs" dxfId="16" priority="5" operator="equal">
      <formula>0</formula>
    </cfRule>
    <cfRule type="cellIs" dxfId="15" priority="4" operator="greaterThan">
      <formula>0</formula>
    </cfRule>
    <cfRule type="cellIs" dxfId="14" priority="3" operator="lessThan">
      <formula>0</formula>
    </cfRule>
  </conditionalFormatting>
  <conditionalFormatting sqref="F17">
    <cfRule type="cellIs" dxfId="13" priority="1" operator="lessThan">
      <formula>0.1</formula>
    </cfRule>
    <cfRule type="cellIs" dxfId="12" priority="2" operator="greaterThan">
      <formula>0.18</formula>
    </cfRule>
  </conditionalFormatting>
  <conditionalFormatting sqref="I19">
    <cfRule type="cellIs" dxfId="11" priority="6" operator="lessThan">
      <formula>0</formula>
    </cfRule>
    <cfRule type="cellIs" dxfId="10" priority="7" operator="greaterThan">
      <formula>0</formula>
    </cfRule>
    <cfRule type="cellIs" dxfId="9" priority="8" operator="equal">
      <formula>0</formula>
    </cfRule>
  </conditionalFormatting>
  <conditionalFormatting sqref="C19">
    <cfRule type="cellIs" dxfId="8" priority="11" operator="equal">
      <formula>0</formula>
    </cfRule>
    <cfRule type="cellIs" dxfId="7" priority="9" operator="lessThan">
      <formula>0</formula>
    </cfRule>
    <cfRule type="cellIs" dxfId="6" priority="10" operator="greaterThan">
      <formula>0</formula>
    </cfRule>
  </conditionalFormatting>
  <dataValidations count="2">
    <dataValidation type="list" allowBlank="1" showInputMessage="1" showErrorMessage="1" sqref="F9" xr:uid="{00000000-0002-0000-0B00-000000000000}">
      <formula1>$I$6:$I$7</formula1>
    </dataValidation>
    <dataValidation type="list" allowBlank="1" showInputMessage="1" showErrorMessage="1" sqref="F13" xr:uid="{00000000-0002-0000-0B00-000001000000}">
      <formula1>$I$9:$I$10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0"/>
  <sheetViews>
    <sheetView workbookViewId="0">
      <selection activeCell="C17" sqref="C17"/>
    </sheetView>
  </sheetViews>
  <sheetFormatPr defaultColWidth="9.140625" defaultRowHeight="15.75"/>
  <cols>
    <col min="1" max="1" width="11.28515625" style="125" bestFit="1" customWidth="1"/>
    <col min="2" max="2" width="11.28515625" style="125" customWidth="1"/>
    <col min="3" max="3" width="14" style="125" customWidth="1"/>
    <col min="4" max="4" width="11.140625" style="125" customWidth="1"/>
    <col min="5" max="5" width="14.42578125" style="125" customWidth="1"/>
    <col min="6" max="6" width="14.85546875" style="125" customWidth="1"/>
    <col min="7" max="7" width="12.5703125" style="125" customWidth="1"/>
    <col min="8" max="16384" width="9.140625" style="125"/>
  </cols>
  <sheetData>
    <row r="1" spans="1:7">
      <c r="E1" s="126"/>
    </row>
    <row r="3" spans="1:7">
      <c r="A3" s="288" t="s">
        <v>32</v>
      </c>
      <c r="B3" s="288"/>
      <c r="C3" s="288"/>
      <c r="D3" s="288"/>
      <c r="E3" s="288"/>
      <c r="F3" s="288"/>
      <c r="G3" s="288"/>
    </row>
    <row r="5" spans="1:7">
      <c r="A5" s="126"/>
      <c r="B5" s="126"/>
      <c r="F5" s="127"/>
    </row>
    <row r="7" spans="1:7">
      <c r="A7" s="128" t="s">
        <v>190</v>
      </c>
      <c r="B7" s="128"/>
      <c r="C7" s="128"/>
      <c r="D7" s="128"/>
      <c r="E7" s="129">
        <f>'12 мес'!F5</f>
        <v>1000</v>
      </c>
      <c r="G7" s="128"/>
    </row>
    <row r="8" spans="1:7">
      <c r="A8" s="128" t="s">
        <v>184</v>
      </c>
      <c r="B8" s="128"/>
      <c r="C8" s="128"/>
      <c r="D8" s="128"/>
      <c r="E8" s="130">
        <f>E7*20/120</f>
        <v>166.66666666666666</v>
      </c>
      <c r="G8" s="131"/>
    </row>
    <row r="9" spans="1:7">
      <c r="A9" s="128" t="s">
        <v>70</v>
      </c>
      <c r="B9" s="128"/>
      <c r="C9" s="128"/>
      <c r="D9" s="128"/>
      <c r="E9" s="132">
        <f>'12 мес'!F6</f>
        <v>0</v>
      </c>
      <c r="G9" s="131"/>
    </row>
    <row r="10" spans="1:7">
      <c r="A10" s="128" t="s">
        <v>183</v>
      </c>
      <c r="B10" s="128"/>
      <c r="C10" s="128"/>
      <c r="D10" s="128"/>
      <c r="E10" s="133">
        <f>'12 мес'!G6</f>
        <v>0</v>
      </c>
      <c r="G10" s="128"/>
    </row>
    <row r="11" spans="1:7">
      <c r="A11" s="128" t="s">
        <v>35</v>
      </c>
      <c r="B11" s="128"/>
      <c r="C11" s="128"/>
      <c r="D11" s="128"/>
      <c r="E11" s="134">
        <f>'12 мес'!F7</f>
        <v>12</v>
      </c>
      <c r="G11" s="128"/>
    </row>
    <row r="12" spans="1:7">
      <c r="A12" s="128" t="s">
        <v>82</v>
      </c>
      <c r="B12" s="128"/>
      <c r="C12" s="128"/>
      <c r="D12" s="128"/>
      <c r="E12" s="134" t="s">
        <v>201</v>
      </c>
      <c r="G12" s="128"/>
    </row>
    <row r="13" spans="1:7">
      <c r="A13" s="135"/>
      <c r="B13" s="135"/>
      <c r="C13" s="135"/>
      <c r="D13" s="135"/>
      <c r="E13" s="134"/>
      <c r="F13" s="134"/>
      <c r="G13" s="134"/>
    </row>
    <row r="14" spans="1:7" ht="85.5">
      <c r="A14" s="136" t="s">
        <v>185</v>
      </c>
      <c r="B14" s="137" t="s">
        <v>205</v>
      </c>
      <c r="C14" s="138" t="s">
        <v>206</v>
      </c>
      <c r="D14" s="138" t="s">
        <v>109</v>
      </c>
      <c r="E14" s="138" t="s">
        <v>104</v>
      </c>
      <c r="F14" s="138" t="s">
        <v>186</v>
      </c>
      <c r="G14" s="137" t="s">
        <v>108</v>
      </c>
    </row>
    <row r="15" spans="1:7">
      <c r="A15" s="139" t="s">
        <v>121</v>
      </c>
      <c r="B15" s="140" t="s">
        <v>114</v>
      </c>
      <c r="C15" s="129">
        <f>E10</f>
        <v>0</v>
      </c>
      <c r="D15" s="141">
        <f>C15*20/120</f>
        <v>0</v>
      </c>
      <c r="E15" s="129"/>
      <c r="F15" s="141"/>
      <c r="G15" s="142"/>
    </row>
    <row r="16" spans="1:7">
      <c r="A16" s="134">
        <v>1</v>
      </c>
      <c r="B16" s="143">
        <f>EOMONTH(B15,0)+DAY(B15)</f>
        <v>43409</v>
      </c>
      <c r="C16" s="129">
        <f>'12 мес'!C20</f>
        <v>83.333333333333329</v>
      </c>
      <c r="D16" s="141">
        <f>'12 мес'!I20</f>
        <v>13.888888888888888</v>
      </c>
      <c r="E16" s="129">
        <f>'12 мес'!D20</f>
        <v>40.833333333333336</v>
      </c>
      <c r="F16" s="141">
        <f>'12 мес'!E20</f>
        <v>0</v>
      </c>
      <c r="G16" s="142">
        <f>'12 мес'!H20</f>
        <v>124.16666666666666</v>
      </c>
    </row>
    <row r="17" spans="1:7">
      <c r="A17" s="134">
        <v>2</v>
      </c>
      <c r="B17" s="143">
        <f t="shared" ref="B17:B27" si="0">EOMONTH(B16,0)+DAY(B16)</f>
        <v>43439</v>
      </c>
      <c r="C17" s="129">
        <f>'12 мес'!C21</f>
        <v>83.333333333333329</v>
      </c>
      <c r="D17" s="141">
        <f>'12 мес'!I21</f>
        <v>13.888888888888888</v>
      </c>
      <c r="E17" s="129">
        <f>'12 мес'!D21</f>
        <v>37.43055555555555</v>
      </c>
      <c r="F17" s="141">
        <f>'12 мес'!E21</f>
        <v>0</v>
      </c>
      <c r="G17" s="142">
        <f>'12 мес'!H21</f>
        <v>120.76388888888889</v>
      </c>
    </row>
    <row r="18" spans="1:7">
      <c r="A18" s="134">
        <v>3</v>
      </c>
      <c r="B18" s="143">
        <f t="shared" si="0"/>
        <v>43470</v>
      </c>
      <c r="C18" s="129">
        <f>'12 мес'!C22</f>
        <v>83.333333333333329</v>
      </c>
      <c r="D18" s="141">
        <f>'12 мес'!I22</f>
        <v>13.888888888888888</v>
      </c>
      <c r="E18" s="129">
        <f>'12 мес'!D22</f>
        <v>34.027777777777779</v>
      </c>
      <c r="F18" s="141">
        <f>'12 мес'!E22</f>
        <v>0</v>
      </c>
      <c r="G18" s="142">
        <f>'12 мес'!H22</f>
        <v>117.36111111111111</v>
      </c>
    </row>
    <row r="19" spans="1:7">
      <c r="A19" s="134">
        <v>4</v>
      </c>
      <c r="B19" s="143">
        <f t="shared" si="0"/>
        <v>43501</v>
      </c>
      <c r="C19" s="129">
        <f>'12 мес'!C23</f>
        <v>83.333333333333329</v>
      </c>
      <c r="D19" s="141">
        <f>'12 мес'!I23</f>
        <v>13.888888888888888</v>
      </c>
      <c r="E19" s="129">
        <f>'12 мес'!D23</f>
        <v>30.624999999999996</v>
      </c>
      <c r="F19" s="141">
        <f>'12 мес'!E23</f>
        <v>0</v>
      </c>
      <c r="G19" s="142">
        <f>'12 мес'!H23</f>
        <v>113.95833333333333</v>
      </c>
    </row>
    <row r="20" spans="1:7">
      <c r="A20" s="134">
        <v>5</v>
      </c>
      <c r="B20" s="143">
        <f t="shared" si="0"/>
        <v>43529</v>
      </c>
      <c r="C20" s="129">
        <f>'12 мес'!C24</f>
        <v>83.333333333333329</v>
      </c>
      <c r="D20" s="141">
        <f>'12 мес'!I24</f>
        <v>13.888888888888888</v>
      </c>
      <c r="E20" s="129">
        <f>'12 мес'!D24</f>
        <v>27.222222222222214</v>
      </c>
      <c r="F20" s="141">
        <f>'12 мес'!E24</f>
        <v>0</v>
      </c>
      <c r="G20" s="142">
        <f>'12 мес'!H24</f>
        <v>110.55555555555554</v>
      </c>
    </row>
    <row r="21" spans="1:7">
      <c r="A21" s="134">
        <v>6</v>
      </c>
      <c r="B21" s="143">
        <f t="shared" si="0"/>
        <v>43560</v>
      </c>
      <c r="C21" s="129">
        <f>'12 мес'!C25</f>
        <v>83.333333333333329</v>
      </c>
      <c r="D21" s="141">
        <f>'12 мес'!I25</f>
        <v>13.888888888888888</v>
      </c>
      <c r="E21" s="129">
        <f>'12 мес'!D25</f>
        <v>23.819444444444439</v>
      </c>
      <c r="F21" s="141">
        <f>'12 мес'!E25</f>
        <v>0</v>
      </c>
      <c r="G21" s="142">
        <f>'12 мес'!H25</f>
        <v>107.15277777777777</v>
      </c>
    </row>
    <row r="22" spans="1:7">
      <c r="A22" s="134">
        <v>7</v>
      </c>
      <c r="B22" s="143">
        <f t="shared" si="0"/>
        <v>43590</v>
      </c>
      <c r="C22" s="129">
        <f>'12 мес'!C26</f>
        <v>83.333333333333329</v>
      </c>
      <c r="D22" s="141">
        <f>'12 мес'!I26</f>
        <v>13.888888888888888</v>
      </c>
      <c r="E22" s="129">
        <f>'12 мес'!D26</f>
        <v>20.416666666666661</v>
      </c>
      <c r="F22" s="141">
        <f>'12 мес'!E26</f>
        <v>0</v>
      </c>
      <c r="G22" s="142">
        <f>'12 мес'!H26</f>
        <v>103.74999999999999</v>
      </c>
    </row>
    <row r="23" spans="1:7">
      <c r="A23" s="134">
        <v>8</v>
      </c>
      <c r="B23" s="143">
        <f t="shared" si="0"/>
        <v>43621</v>
      </c>
      <c r="C23" s="129">
        <f>'12 мес'!C27</f>
        <v>83.333333333333329</v>
      </c>
      <c r="D23" s="141">
        <f>'12 мес'!I27</f>
        <v>13.888888888888888</v>
      </c>
      <c r="E23" s="129">
        <f>'12 мес'!D27</f>
        <v>17.013888888888882</v>
      </c>
      <c r="F23" s="141">
        <f>'12 мес'!E27</f>
        <v>0</v>
      </c>
      <c r="G23" s="142">
        <f>'12 мес'!H27</f>
        <v>100.34722222222221</v>
      </c>
    </row>
    <row r="24" spans="1:7">
      <c r="A24" s="134">
        <v>9</v>
      </c>
      <c r="B24" s="143">
        <f t="shared" si="0"/>
        <v>43651</v>
      </c>
      <c r="C24" s="129">
        <f>'12 мес'!C28</f>
        <v>83.333333333333329</v>
      </c>
      <c r="D24" s="141">
        <f>'12 мес'!I28</f>
        <v>13.888888888888888</v>
      </c>
      <c r="E24" s="129">
        <f>'12 мес'!D28</f>
        <v>13.611111111111105</v>
      </c>
      <c r="F24" s="141">
        <f>'12 мес'!E28</f>
        <v>0</v>
      </c>
      <c r="G24" s="142">
        <f>'12 мес'!H28</f>
        <v>96.944444444444429</v>
      </c>
    </row>
    <row r="25" spans="1:7">
      <c r="A25" s="134">
        <v>10</v>
      </c>
      <c r="B25" s="143">
        <f t="shared" si="0"/>
        <v>43682</v>
      </c>
      <c r="C25" s="129">
        <f>'12 мес'!C29</f>
        <v>83.333333333333329</v>
      </c>
      <c r="D25" s="141">
        <f>'12 мес'!I29</f>
        <v>13.888888888888888</v>
      </c>
      <c r="E25" s="129">
        <f>'12 мес'!D29</f>
        <v>10.208333333333329</v>
      </c>
      <c r="F25" s="141">
        <f>'12 мес'!E29</f>
        <v>0</v>
      </c>
      <c r="G25" s="142">
        <f>'12 мес'!H29</f>
        <v>93.541666666666657</v>
      </c>
    </row>
    <row r="26" spans="1:7">
      <c r="A26" s="134">
        <v>11</v>
      </c>
      <c r="B26" s="143">
        <f t="shared" si="0"/>
        <v>43713</v>
      </c>
      <c r="C26" s="129">
        <f>'12 мес'!C30</f>
        <v>83.333333333333329</v>
      </c>
      <c r="D26" s="141">
        <f>'12 мес'!I30</f>
        <v>13.888888888888888</v>
      </c>
      <c r="E26" s="129">
        <f>'12 мес'!D30</f>
        <v>6.8055555555555509</v>
      </c>
      <c r="F26" s="141">
        <f>'12 мес'!E30</f>
        <v>0</v>
      </c>
      <c r="G26" s="142">
        <f>'12 мес'!H30</f>
        <v>90.138888888888886</v>
      </c>
    </row>
    <row r="27" spans="1:7">
      <c r="A27" s="134">
        <v>12</v>
      </c>
      <c r="B27" s="143">
        <f t="shared" si="0"/>
        <v>43743</v>
      </c>
      <c r="C27" s="129">
        <f>'12 мес'!C31</f>
        <v>83.333333333333329</v>
      </c>
      <c r="D27" s="141">
        <f>'12 мес'!I31</f>
        <v>13.888888888888888</v>
      </c>
      <c r="E27" s="129">
        <f>'12 мес'!D31</f>
        <v>3.4027777777777737</v>
      </c>
      <c r="F27" s="141">
        <f>'12 мес'!E31</f>
        <v>0</v>
      </c>
      <c r="G27" s="142">
        <f>'12 мес'!H31</f>
        <v>86.7361111111111</v>
      </c>
    </row>
    <row r="28" spans="1:7">
      <c r="A28" s="284" t="s">
        <v>1</v>
      </c>
      <c r="B28" s="285"/>
      <c r="C28" s="144">
        <f>SUM(C15:C27)</f>
        <v>1000.0000000000001</v>
      </c>
      <c r="D28" s="144">
        <f>SUM(D15:D27)</f>
        <v>166.66666666666666</v>
      </c>
      <c r="E28" s="144"/>
      <c r="F28" s="145"/>
      <c r="G28" s="146"/>
    </row>
    <row r="29" spans="1:7">
      <c r="A29" s="147" t="s">
        <v>187</v>
      </c>
      <c r="B29" s="147"/>
      <c r="C29" s="147"/>
      <c r="D29" s="147"/>
      <c r="E29" s="147"/>
      <c r="F29" s="147"/>
      <c r="G29" s="147"/>
    </row>
    <row r="30" spans="1:7" ht="7.5" customHeight="1">
      <c r="A30" s="148"/>
      <c r="B30" s="148"/>
      <c r="C30" s="148"/>
      <c r="D30" s="148"/>
      <c r="E30" s="148"/>
      <c r="F30" s="148"/>
      <c r="G30" s="148"/>
    </row>
    <row r="31" spans="1:7" ht="15.75" customHeight="1">
      <c r="A31" s="149"/>
      <c r="B31" s="149"/>
      <c r="C31" s="149"/>
      <c r="D31" s="149"/>
      <c r="E31" s="149"/>
      <c r="F31" s="149"/>
      <c r="G31" s="149"/>
    </row>
    <row r="32" spans="1:7" ht="15.75" customHeight="1">
      <c r="A32" s="149"/>
      <c r="B32" s="149"/>
      <c r="C32" s="149"/>
      <c r="D32" s="149"/>
      <c r="E32" s="149"/>
      <c r="F32" s="149"/>
      <c r="G32" s="149"/>
    </row>
    <row r="33" spans="1:7" ht="11.25" customHeight="1">
      <c r="A33" s="149"/>
      <c r="B33" s="149"/>
      <c r="C33" s="149"/>
      <c r="D33" s="149"/>
      <c r="E33" s="149"/>
      <c r="F33" s="149"/>
      <c r="G33" s="149"/>
    </row>
    <row r="34" spans="1:7">
      <c r="A34" s="150"/>
      <c r="B34" s="150"/>
      <c r="C34" s="150"/>
      <c r="D34" s="150"/>
      <c r="E34" s="150"/>
      <c r="F34" s="150"/>
      <c r="G34" s="150"/>
    </row>
    <row r="35" spans="1:7">
      <c r="A35" s="151"/>
      <c r="B35" s="150"/>
      <c r="C35" s="150"/>
      <c r="D35" s="150"/>
      <c r="E35" s="150"/>
      <c r="F35" s="126"/>
      <c r="G35" s="150"/>
    </row>
    <row r="36" spans="1:7">
      <c r="A36" s="152"/>
      <c r="B36" s="152"/>
      <c r="C36" s="152"/>
      <c r="D36" s="150"/>
      <c r="E36" s="150"/>
      <c r="F36" s="150"/>
      <c r="G36" s="150"/>
    </row>
    <row r="37" spans="1:7">
      <c r="A37" s="150"/>
      <c r="B37" s="150"/>
      <c r="C37" s="150"/>
      <c r="D37" s="150"/>
      <c r="E37" s="150"/>
    </row>
    <row r="38" spans="1:7">
      <c r="A38" s="153"/>
      <c r="B38" s="154"/>
      <c r="C38" s="154"/>
      <c r="D38" s="150"/>
      <c r="E38" s="150"/>
      <c r="F38" s="286"/>
      <c r="G38" s="286"/>
    </row>
    <row r="39" spans="1:7">
      <c r="A39" s="287"/>
      <c r="B39" s="287"/>
      <c r="C39" s="155"/>
      <c r="D39" s="150"/>
      <c r="E39" s="150"/>
      <c r="F39" s="156"/>
      <c r="G39" s="150"/>
    </row>
    <row r="40" spans="1:7">
      <c r="D40" s="155"/>
      <c r="E40" s="155"/>
      <c r="F40" s="155"/>
      <c r="G40" s="155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28:B28"/>
    <mergeCell ref="F38:G38"/>
    <mergeCell ref="A39:B39"/>
    <mergeCell ref="A3:G3"/>
  </mergeCells>
  <pageMargins left="0.52" right="0.35433070866141736" top="0.35433070866141736" bottom="0.31496062992125984" header="0.31496062992125984" footer="0.31496062992125984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0"/>
  <sheetViews>
    <sheetView workbookViewId="0">
      <selection activeCell="C17" sqref="C17"/>
    </sheetView>
  </sheetViews>
  <sheetFormatPr defaultColWidth="9.140625" defaultRowHeight="15.75"/>
  <cols>
    <col min="1" max="1" width="8.5703125" style="125" customWidth="1"/>
    <col min="2" max="2" width="11.28515625" style="125" customWidth="1"/>
    <col min="3" max="3" width="14.140625" style="125" customWidth="1"/>
    <col min="4" max="4" width="13.5703125" style="125" customWidth="1"/>
    <col min="5" max="5" width="17.140625" style="125" customWidth="1"/>
    <col min="6" max="6" width="16.7109375" style="125" customWidth="1"/>
    <col min="7" max="7" width="13.28515625" style="125" customWidth="1"/>
    <col min="8" max="16384" width="9.140625" style="125"/>
  </cols>
  <sheetData>
    <row r="1" spans="1:7">
      <c r="E1" s="126"/>
    </row>
    <row r="3" spans="1:7">
      <c r="A3" s="288" t="s">
        <v>32</v>
      </c>
      <c r="B3" s="288"/>
      <c r="C3" s="288"/>
      <c r="D3" s="288"/>
      <c r="E3" s="288"/>
      <c r="F3" s="288"/>
      <c r="G3" s="288"/>
    </row>
    <row r="5" spans="1:7">
      <c r="A5" s="126"/>
      <c r="B5" s="126"/>
      <c r="F5" s="127"/>
    </row>
    <row r="7" spans="1:7">
      <c r="A7" s="128" t="s">
        <v>190</v>
      </c>
      <c r="B7" s="128"/>
      <c r="C7" s="128"/>
      <c r="D7" s="128"/>
      <c r="E7" s="129">
        <f>'12 мес (аннуитет)'!F5</f>
        <v>1000</v>
      </c>
      <c r="G7" s="128"/>
    </row>
    <row r="8" spans="1:7">
      <c r="A8" s="128" t="s">
        <v>184</v>
      </c>
      <c r="B8" s="128"/>
      <c r="C8" s="128"/>
      <c r="D8" s="128"/>
      <c r="E8" s="130">
        <f>E7*20/120</f>
        <v>166.66666666666666</v>
      </c>
      <c r="G8" s="131"/>
    </row>
    <row r="9" spans="1:7">
      <c r="A9" s="128" t="s">
        <v>70</v>
      </c>
      <c r="B9" s="128"/>
      <c r="C9" s="128"/>
      <c r="D9" s="128"/>
      <c r="E9" s="132">
        <f>'12 мес (аннуитет)'!F6</f>
        <v>0</v>
      </c>
      <c r="G9" s="131"/>
    </row>
    <row r="10" spans="1:7">
      <c r="A10" s="128" t="s">
        <v>183</v>
      </c>
      <c r="B10" s="128"/>
      <c r="C10" s="128"/>
      <c r="D10" s="128"/>
      <c r="E10" s="133">
        <f>'12 мес (аннуитет)'!G6</f>
        <v>0</v>
      </c>
      <c r="G10" s="128"/>
    </row>
    <row r="11" spans="1:7">
      <c r="A11" s="128" t="s">
        <v>35</v>
      </c>
      <c r="B11" s="128"/>
      <c r="C11" s="128"/>
      <c r="D11" s="128"/>
      <c r="E11" s="134">
        <f>'12 мес (аннуитет)'!F7</f>
        <v>12</v>
      </c>
      <c r="G11" s="128"/>
    </row>
    <row r="12" spans="1:7">
      <c r="A12" s="128" t="s">
        <v>82</v>
      </c>
      <c r="B12" s="128"/>
      <c r="C12" s="128"/>
      <c r="D12" s="128"/>
      <c r="E12" s="134" t="s">
        <v>202</v>
      </c>
      <c r="G12" s="128"/>
    </row>
    <row r="13" spans="1:7">
      <c r="A13" s="135"/>
      <c r="B13" s="135"/>
      <c r="C13" s="135"/>
      <c r="D13" s="135"/>
      <c r="E13" s="134"/>
      <c r="F13" s="134"/>
      <c r="G13" s="134"/>
    </row>
    <row r="14" spans="1:7" ht="57">
      <c r="A14" s="136" t="s">
        <v>185</v>
      </c>
      <c r="B14" s="137" t="s">
        <v>205</v>
      </c>
      <c r="C14" s="138" t="s">
        <v>206</v>
      </c>
      <c r="D14" s="138" t="s">
        <v>109</v>
      </c>
      <c r="E14" s="138" t="s">
        <v>104</v>
      </c>
      <c r="F14" s="138" t="s">
        <v>186</v>
      </c>
      <c r="G14" s="137" t="s">
        <v>108</v>
      </c>
    </row>
    <row r="15" spans="1:7">
      <c r="A15" s="139" t="s">
        <v>121</v>
      </c>
      <c r="B15" s="140" t="s">
        <v>114</v>
      </c>
      <c r="C15" s="129">
        <f>E10</f>
        <v>0</v>
      </c>
      <c r="D15" s="141">
        <f>C15*20/120</f>
        <v>0</v>
      </c>
      <c r="E15" s="129"/>
      <c r="F15" s="141"/>
      <c r="G15" s="142"/>
    </row>
    <row r="16" spans="1:7">
      <c r="A16" s="134">
        <v>1</v>
      </c>
      <c r="B16" s="143">
        <f>EOMONTH(B15,0)+DAY(B15)</f>
        <v>43409</v>
      </c>
      <c r="C16" s="129">
        <f>'12 мес (аннуитет)'!C20</f>
        <v>66.23467758989699</v>
      </c>
      <c r="D16" s="141">
        <f>'12 мес (аннуитет)'!I20</f>
        <v>11.039112931649498</v>
      </c>
      <c r="E16" s="129">
        <f>'12 мес (аннуитет)'!D20</f>
        <v>40.833333333333336</v>
      </c>
      <c r="F16" s="141">
        <f>'12 мес'!E20</f>
        <v>0</v>
      </c>
      <c r="G16" s="142">
        <f>'12 мес (аннуитет)'!H20</f>
        <v>107.06801092323033</v>
      </c>
    </row>
    <row r="17" spans="1:7">
      <c r="A17" s="134">
        <v>2</v>
      </c>
      <c r="B17" s="143">
        <f t="shared" ref="B17:B27" si="0">EOMONTH(B16,0)+DAY(B16)</f>
        <v>43439</v>
      </c>
      <c r="C17" s="129">
        <f>'12 мес (аннуитет)'!C21</f>
        <v>68.939260258151137</v>
      </c>
      <c r="D17" s="141">
        <f>'12 мес (аннуитет)'!I21</f>
        <v>11.489876709691856</v>
      </c>
      <c r="E17" s="129">
        <f>'12 мес (аннуитет)'!D21</f>
        <v>38.128750665079203</v>
      </c>
      <c r="F17" s="141">
        <f>'12 мес'!E21</f>
        <v>0</v>
      </c>
      <c r="G17" s="142">
        <f>'12 мес (аннуитет)'!H21</f>
        <v>107.06801092323033</v>
      </c>
    </row>
    <row r="18" spans="1:7">
      <c r="A18" s="134">
        <v>3</v>
      </c>
      <c r="B18" s="143">
        <f t="shared" si="0"/>
        <v>43470</v>
      </c>
      <c r="C18" s="129">
        <f>'12 мес (аннуитет)'!C22</f>
        <v>71.754280052025621</v>
      </c>
      <c r="D18" s="141">
        <f>'12 мес (аннуитет)'!I22</f>
        <v>11.959046675337602</v>
      </c>
      <c r="E18" s="129">
        <f>'12 мес (аннуитет)'!D22</f>
        <v>35.313730871204704</v>
      </c>
      <c r="F18" s="141">
        <f>'12 мес'!E22</f>
        <v>0</v>
      </c>
      <c r="G18" s="142">
        <f>'12 мес (аннуитет)'!H22</f>
        <v>107.06801092323033</v>
      </c>
    </row>
    <row r="19" spans="1:7">
      <c r="A19" s="134">
        <v>4</v>
      </c>
      <c r="B19" s="143">
        <f t="shared" si="0"/>
        <v>43501</v>
      </c>
      <c r="C19" s="129">
        <f>'12 мес (аннуитет)'!C23</f>
        <v>74.684246487483335</v>
      </c>
      <c r="D19" s="141">
        <f>'12 мес (аннуитет)'!I23</f>
        <v>12.447374414580556</v>
      </c>
      <c r="E19" s="129">
        <f>'12 мес (аннуитет)'!D23</f>
        <v>32.38376443574699</v>
      </c>
      <c r="F19" s="141">
        <f>'12 мес'!E23</f>
        <v>0</v>
      </c>
      <c r="G19" s="142">
        <f>'12 мес (аннуитет)'!H23</f>
        <v>107.06801092323033</v>
      </c>
    </row>
    <row r="20" spans="1:7">
      <c r="A20" s="134">
        <v>5</v>
      </c>
      <c r="B20" s="143">
        <f t="shared" si="0"/>
        <v>43529</v>
      </c>
      <c r="C20" s="129">
        <f>'12 мес (аннуитет)'!C24</f>
        <v>77.733853219055575</v>
      </c>
      <c r="D20" s="141">
        <f>'12 мес (аннуитет)'!I24</f>
        <v>12.955642203175929</v>
      </c>
      <c r="E20" s="129">
        <f>'12 мес (аннуитет)'!D24</f>
        <v>29.334157704174753</v>
      </c>
      <c r="F20" s="141">
        <f>'12 мес'!E24</f>
        <v>0</v>
      </c>
      <c r="G20" s="142">
        <f>'12 мес (аннуитет)'!H24</f>
        <v>107.06801092323033</v>
      </c>
    </row>
    <row r="21" spans="1:7">
      <c r="A21" s="134">
        <v>6</v>
      </c>
      <c r="B21" s="143">
        <f t="shared" si="0"/>
        <v>43560</v>
      </c>
      <c r="C21" s="129">
        <f>'12 мес (аннуитет)'!C25</f>
        <v>80.907985558833687</v>
      </c>
      <c r="D21" s="141">
        <f>'12 мес (аннуитет)'!I25</f>
        <v>13.484664259805614</v>
      </c>
      <c r="E21" s="129">
        <f>'12 мес (аннуитет)'!D25</f>
        <v>26.160025364396645</v>
      </c>
      <c r="F21" s="141">
        <f>'12 мес'!E25</f>
        <v>0</v>
      </c>
      <c r="G21" s="142">
        <f>'12 мес (аннуитет)'!H25</f>
        <v>107.06801092323033</v>
      </c>
    </row>
    <row r="22" spans="1:7">
      <c r="A22" s="134">
        <v>7</v>
      </c>
      <c r="B22" s="143">
        <f t="shared" si="0"/>
        <v>43590</v>
      </c>
      <c r="C22" s="129">
        <f>'12 мес (аннуитет)'!C26</f>
        <v>84.211728302486065</v>
      </c>
      <c r="D22" s="141">
        <f>'12 мес (аннуитет)'!I26</f>
        <v>14.035288050414344</v>
      </c>
      <c r="E22" s="129">
        <f>'12 мес (аннуитет)'!D26</f>
        <v>22.856282620744267</v>
      </c>
      <c r="F22" s="141">
        <f>'12 мес'!E26</f>
        <v>0</v>
      </c>
      <c r="G22" s="142">
        <f>'12 мес (аннуитет)'!H26</f>
        <v>107.06801092323033</v>
      </c>
    </row>
    <row r="23" spans="1:7">
      <c r="A23" s="134">
        <v>8</v>
      </c>
      <c r="B23" s="143">
        <f t="shared" si="0"/>
        <v>43621</v>
      </c>
      <c r="C23" s="129">
        <f>'12 мес (аннуитет)'!C27</f>
        <v>87.650373874837584</v>
      </c>
      <c r="D23" s="141">
        <f>'12 мес (аннуитет)'!I27</f>
        <v>14.608395645806263</v>
      </c>
      <c r="E23" s="129">
        <f>'12 мес (аннуитет)'!D27</f>
        <v>19.417637048392756</v>
      </c>
      <c r="F23" s="141">
        <f>'12 мес'!E27</f>
        <v>0</v>
      </c>
      <c r="G23" s="142">
        <f>'12 мес (аннуитет)'!H27</f>
        <v>107.06801092323033</v>
      </c>
    </row>
    <row r="24" spans="1:7">
      <c r="A24" s="134">
        <v>9</v>
      </c>
      <c r="B24" s="143">
        <f t="shared" si="0"/>
        <v>43651</v>
      </c>
      <c r="C24" s="129">
        <f>'12 мес (аннуитет)'!C28</f>
        <v>91.229430808060116</v>
      </c>
      <c r="D24" s="141">
        <f>'12 мес (аннуитет)'!I28</f>
        <v>15.204905134676686</v>
      </c>
      <c r="E24" s="129">
        <f>'12 мес (аннуитет)'!D28</f>
        <v>15.838580115170219</v>
      </c>
      <c r="F24" s="141">
        <f>'12 мес'!E28</f>
        <v>0</v>
      </c>
      <c r="G24" s="142">
        <f>'12 мес (аннуитет)'!H28</f>
        <v>107.06801092323033</v>
      </c>
    </row>
    <row r="25" spans="1:7">
      <c r="A25" s="134">
        <v>10</v>
      </c>
      <c r="B25" s="143">
        <f t="shared" si="0"/>
        <v>43682</v>
      </c>
      <c r="C25" s="129">
        <f>'12 мес (аннуитет)'!C29</f>
        <v>94.954632566055892</v>
      </c>
      <c r="D25" s="141">
        <f>'12 мес (аннуитет)'!I29</f>
        <v>15.82577209434265</v>
      </c>
      <c r="E25" s="129">
        <f>'12 мес (аннуитет)'!D29</f>
        <v>12.113378357174433</v>
      </c>
      <c r="F25" s="141">
        <f>'12 мес'!E29</f>
        <v>0</v>
      </c>
      <c r="G25" s="142">
        <f>'12 мес (аннуитет)'!H29</f>
        <v>107.06801092323033</v>
      </c>
    </row>
    <row r="26" spans="1:7">
      <c r="A26" s="134">
        <v>11</v>
      </c>
      <c r="B26" s="143">
        <f t="shared" si="0"/>
        <v>43713</v>
      </c>
      <c r="C26" s="129">
        <f>'12 мес (аннуитет)'!C30</f>
        <v>98.831946729169843</v>
      </c>
      <c r="D26" s="141">
        <f>'12 мес (аннуитет)'!I30</f>
        <v>16.471991121528308</v>
      </c>
      <c r="E26" s="129">
        <f>'12 мес (аннуитет)'!D30</f>
        <v>8.236064194060484</v>
      </c>
      <c r="F26" s="141">
        <f>'12 мес'!E30</f>
        <v>0</v>
      </c>
      <c r="G26" s="142">
        <f>'12 мес (аннуитет)'!H30</f>
        <v>107.06801092323033</v>
      </c>
    </row>
    <row r="27" spans="1:7">
      <c r="A27" s="134">
        <v>12</v>
      </c>
      <c r="B27" s="143">
        <f t="shared" si="0"/>
        <v>43743</v>
      </c>
      <c r="C27" s="129">
        <f>'12 мес (аннуитет)'!C31</f>
        <v>102.86758455394404</v>
      </c>
      <c r="D27" s="141">
        <f>'12 мес (аннуитет)'!I31</f>
        <v>17.144597425657341</v>
      </c>
      <c r="E27" s="129">
        <f>'12 мес (аннуитет)'!D31</f>
        <v>4.2004263692860482</v>
      </c>
      <c r="F27" s="141">
        <f>'12 мес'!E31</f>
        <v>0</v>
      </c>
      <c r="G27" s="142">
        <f>'12 мес (аннуитет)'!H31</f>
        <v>107.06801092323009</v>
      </c>
    </row>
    <row r="28" spans="1:7">
      <c r="A28" s="284" t="s">
        <v>1</v>
      </c>
      <c r="B28" s="285"/>
      <c r="C28" s="144">
        <f>SUM(C15:C27)</f>
        <v>1000</v>
      </c>
      <c r="D28" s="144">
        <f>SUM(D15:D27)</f>
        <v>166.66666666666666</v>
      </c>
      <c r="E28" s="144"/>
      <c r="F28" s="145"/>
      <c r="G28" s="146"/>
    </row>
    <row r="29" spans="1:7">
      <c r="A29" s="147" t="s">
        <v>187</v>
      </c>
      <c r="B29" s="147"/>
      <c r="C29" s="147"/>
      <c r="D29" s="147"/>
      <c r="E29" s="147"/>
      <c r="F29" s="147"/>
      <c r="G29" s="147"/>
    </row>
    <row r="30" spans="1:7" ht="7.5" customHeight="1">
      <c r="A30" s="148"/>
      <c r="B30" s="148"/>
      <c r="C30" s="148"/>
      <c r="D30" s="148"/>
      <c r="E30" s="148"/>
      <c r="F30" s="148"/>
      <c r="G30" s="148"/>
    </row>
    <row r="31" spans="1:7" ht="15.75" customHeight="1">
      <c r="A31" s="149"/>
      <c r="B31" s="149"/>
      <c r="C31" s="149"/>
      <c r="D31" s="149"/>
      <c r="E31" s="149"/>
      <c r="F31" s="149"/>
      <c r="G31" s="149"/>
    </row>
    <row r="32" spans="1:7" ht="15.75" customHeight="1">
      <c r="A32" s="149"/>
      <c r="B32" s="149"/>
      <c r="C32" s="149"/>
      <c r="D32" s="149"/>
      <c r="E32" s="149"/>
      <c r="F32" s="149"/>
      <c r="G32" s="149"/>
    </row>
    <row r="33" spans="1:7" ht="11.25" customHeight="1">
      <c r="A33" s="149"/>
      <c r="B33" s="149"/>
      <c r="C33" s="149"/>
      <c r="D33" s="149"/>
      <c r="E33" s="149"/>
      <c r="F33" s="149"/>
      <c r="G33" s="149"/>
    </row>
    <row r="34" spans="1:7">
      <c r="A34" s="150"/>
      <c r="B34" s="150"/>
      <c r="C34" s="150"/>
      <c r="D34" s="150"/>
      <c r="E34" s="150"/>
      <c r="F34" s="150"/>
      <c r="G34" s="150"/>
    </row>
    <row r="35" spans="1:7">
      <c r="A35" s="151"/>
      <c r="B35" s="150"/>
      <c r="C35" s="150"/>
      <c r="D35" s="150"/>
      <c r="E35" s="150"/>
      <c r="F35" s="126"/>
      <c r="G35" s="150"/>
    </row>
    <row r="36" spans="1:7">
      <c r="A36" s="152"/>
      <c r="B36" s="152"/>
      <c r="C36" s="152"/>
      <c r="D36" s="150"/>
      <c r="E36" s="150"/>
      <c r="F36" s="150"/>
      <c r="G36" s="150"/>
    </row>
    <row r="37" spans="1:7">
      <c r="A37" s="150"/>
      <c r="B37" s="150"/>
      <c r="C37" s="150"/>
      <c r="D37" s="150"/>
      <c r="E37" s="150"/>
    </row>
    <row r="38" spans="1:7">
      <c r="A38" s="153"/>
      <c r="B38" s="154"/>
      <c r="C38" s="154"/>
      <c r="D38" s="150"/>
      <c r="E38" s="150"/>
      <c r="F38" s="286"/>
      <c r="G38" s="286"/>
    </row>
    <row r="39" spans="1:7">
      <c r="A39" s="287"/>
      <c r="B39" s="287"/>
      <c r="C39" s="155"/>
      <c r="D39" s="150"/>
      <c r="E39" s="150"/>
      <c r="F39" s="156"/>
      <c r="G39" s="150"/>
    </row>
    <row r="40" spans="1:7">
      <c r="D40" s="155"/>
      <c r="E40" s="155"/>
      <c r="F40" s="155"/>
      <c r="G40" s="155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3:G3"/>
    <mergeCell ref="A28:B28"/>
    <mergeCell ref="F38:G38"/>
    <mergeCell ref="A39:B39"/>
  </mergeCells>
  <pageMargins left="0.56999999999999995" right="0.24" top="0.35433070866141736" bottom="0.39370078740157483" header="0.31496062992125984" footer="0.31496062992125984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46"/>
  <sheetViews>
    <sheetView workbookViewId="0">
      <selection activeCell="C17" sqref="C17"/>
    </sheetView>
  </sheetViews>
  <sheetFormatPr defaultColWidth="9.140625" defaultRowHeight="15.75"/>
  <cols>
    <col min="1" max="1" width="8.7109375" style="125" customWidth="1"/>
    <col min="2" max="2" width="11.28515625" style="125" customWidth="1"/>
    <col min="3" max="3" width="12.42578125" style="125" customWidth="1"/>
    <col min="4" max="4" width="12.5703125" style="125" customWidth="1"/>
    <col min="5" max="6" width="15.42578125" style="125" customWidth="1"/>
    <col min="7" max="7" width="12.5703125" style="125" customWidth="1"/>
    <col min="8" max="16384" width="9.140625" style="125"/>
  </cols>
  <sheetData>
    <row r="1" spans="1:7">
      <c r="E1" s="126"/>
    </row>
    <row r="3" spans="1:7">
      <c r="A3" s="288" t="s">
        <v>32</v>
      </c>
      <c r="B3" s="288"/>
      <c r="C3" s="288"/>
      <c r="D3" s="288"/>
      <c r="E3" s="288"/>
      <c r="F3" s="288"/>
      <c r="G3" s="288"/>
    </row>
    <row r="5" spans="1:7">
      <c r="A5" s="126"/>
      <c r="B5" s="126"/>
      <c r="F5" s="127"/>
    </row>
    <row r="7" spans="1:7">
      <c r="A7" s="128" t="s">
        <v>190</v>
      </c>
      <c r="B7" s="128"/>
      <c r="C7" s="128"/>
      <c r="D7" s="128"/>
      <c r="E7" s="129">
        <f>'18 мес'!F5</f>
        <v>1000</v>
      </c>
      <c r="G7" s="128"/>
    </row>
    <row r="8" spans="1:7">
      <c r="A8" s="128" t="s">
        <v>184</v>
      </c>
      <c r="B8" s="128"/>
      <c r="C8" s="128"/>
      <c r="D8" s="128"/>
      <c r="E8" s="130">
        <f>E7*20/120</f>
        <v>166.66666666666666</v>
      </c>
      <c r="G8" s="131"/>
    </row>
    <row r="9" spans="1:7">
      <c r="A9" s="128" t="s">
        <v>70</v>
      </c>
      <c r="B9" s="128"/>
      <c r="C9" s="128"/>
      <c r="D9" s="128"/>
      <c r="E9" s="132">
        <f>'18 мес'!F6</f>
        <v>0</v>
      </c>
      <c r="G9" s="131"/>
    </row>
    <row r="10" spans="1:7">
      <c r="A10" s="128" t="s">
        <v>183</v>
      </c>
      <c r="B10" s="128"/>
      <c r="C10" s="128"/>
      <c r="D10" s="128"/>
      <c r="E10" s="133">
        <f>'18 мес'!G6</f>
        <v>0</v>
      </c>
      <c r="G10" s="128"/>
    </row>
    <row r="11" spans="1:7">
      <c r="A11" s="128" t="s">
        <v>35</v>
      </c>
      <c r="B11" s="128"/>
      <c r="C11" s="128"/>
      <c r="D11" s="128"/>
      <c r="E11" s="134">
        <f>'18 мес'!F7</f>
        <v>18</v>
      </c>
      <c r="G11" s="128"/>
    </row>
    <row r="12" spans="1:7">
      <c r="A12" s="128" t="s">
        <v>82</v>
      </c>
      <c r="B12" s="128"/>
      <c r="C12" s="128"/>
      <c r="D12" s="128"/>
      <c r="E12" s="134" t="s">
        <v>201</v>
      </c>
      <c r="G12" s="128"/>
    </row>
    <row r="13" spans="1:7">
      <c r="A13" s="135"/>
      <c r="B13" s="135"/>
      <c r="C13" s="135"/>
      <c r="D13" s="135"/>
      <c r="E13" s="134"/>
      <c r="F13" s="134"/>
      <c r="G13" s="134"/>
    </row>
    <row r="14" spans="1:7" ht="85.5">
      <c r="A14" s="136" t="s">
        <v>185</v>
      </c>
      <c r="B14" s="137" t="s">
        <v>205</v>
      </c>
      <c r="C14" s="138" t="s">
        <v>206</v>
      </c>
      <c r="D14" s="138" t="s">
        <v>109</v>
      </c>
      <c r="E14" s="138" t="s">
        <v>104</v>
      </c>
      <c r="F14" s="138" t="s">
        <v>186</v>
      </c>
      <c r="G14" s="137" t="s">
        <v>108</v>
      </c>
    </row>
    <row r="15" spans="1:7">
      <c r="A15" s="139" t="s">
        <v>121</v>
      </c>
      <c r="B15" s="140" t="s">
        <v>114</v>
      </c>
      <c r="C15" s="129">
        <f>E10</f>
        <v>0</v>
      </c>
      <c r="D15" s="141">
        <f>C15*20/120</f>
        <v>0</v>
      </c>
      <c r="E15" s="129"/>
      <c r="F15" s="141"/>
      <c r="G15" s="142"/>
    </row>
    <row r="16" spans="1:7">
      <c r="A16" s="134">
        <v>1</v>
      </c>
      <c r="B16" s="143">
        <f>EOMONTH(B15,0)+DAY(B15)</f>
        <v>43409</v>
      </c>
      <c r="C16" s="129">
        <f>'18 мес'!C21</f>
        <v>55</v>
      </c>
      <c r="D16" s="141">
        <f>'18 мес'!I21</f>
        <v>9.1666666666666661</v>
      </c>
      <c r="E16" s="129">
        <f>'18 мес'!D21</f>
        <v>40.833333333333336</v>
      </c>
      <c r="F16" s="141">
        <f>'18 мес'!E21</f>
        <v>0</v>
      </c>
      <c r="G16" s="142">
        <f>'18 мес'!H21</f>
        <v>95.833333333333343</v>
      </c>
    </row>
    <row r="17" spans="1:7">
      <c r="A17" s="134">
        <v>2</v>
      </c>
      <c r="B17" s="143">
        <f t="shared" ref="B17:B33" si="0">EOMONTH(B16,0)+DAY(B16)</f>
        <v>43439</v>
      </c>
      <c r="C17" s="129">
        <f>'18 мес'!C22</f>
        <v>55</v>
      </c>
      <c r="D17" s="141">
        <f>'18 мес'!I22</f>
        <v>9.1666666666666661</v>
      </c>
      <c r="E17" s="129">
        <f>'18 мес'!D22</f>
        <v>38.587499999999999</v>
      </c>
      <c r="F17" s="141">
        <f>'18 мес'!E22</f>
        <v>0</v>
      </c>
      <c r="G17" s="142">
        <f>'18 мес'!H22</f>
        <v>93.587500000000006</v>
      </c>
    </row>
    <row r="18" spans="1:7">
      <c r="A18" s="134">
        <v>3</v>
      </c>
      <c r="B18" s="143">
        <f t="shared" si="0"/>
        <v>43470</v>
      </c>
      <c r="C18" s="129">
        <f>'18 мес'!C23</f>
        <v>55</v>
      </c>
      <c r="D18" s="141">
        <f>'18 мес'!I23</f>
        <v>9.1666666666666661</v>
      </c>
      <c r="E18" s="129">
        <f>'18 мес'!D23</f>
        <v>36.341666666666661</v>
      </c>
      <c r="F18" s="141">
        <f>'18 мес'!E23</f>
        <v>0</v>
      </c>
      <c r="G18" s="142">
        <f>'18 мес'!H23</f>
        <v>91.341666666666669</v>
      </c>
    </row>
    <row r="19" spans="1:7">
      <c r="A19" s="134">
        <v>4</v>
      </c>
      <c r="B19" s="143">
        <f t="shared" si="0"/>
        <v>43501</v>
      </c>
      <c r="C19" s="129">
        <f>'18 мес'!C24</f>
        <v>55</v>
      </c>
      <c r="D19" s="141">
        <f>'18 мес'!I24</f>
        <v>9.1666666666666661</v>
      </c>
      <c r="E19" s="129">
        <f>'18 мес'!D24</f>
        <v>34.095833333333331</v>
      </c>
      <c r="F19" s="141">
        <f>'18 мес'!E24</f>
        <v>0</v>
      </c>
      <c r="G19" s="142">
        <f>'18 мес'!H24</f>
        <v>89.095833333333331</v>
      </c>
    </row>
    <row r="20" spans="1:7">
      <c r="A20" s="134">
        <v>5</v>
      </c>
      <c r="B20" s="143">
        <f t="shared" si="0"/>
        <v>43529</v>
      </c>
      <c r="C20" s="129">
        <f>'18 мес'!C25</f>
        <v>55</v>
      </c>
      <c r="D20" s="141">
        <f>'18 мес'!I25</f>
        <v>9.1666666666666661</v>
      </c>
      <c r="E20" s="129">
        <f>'18 мес'!D25</f>
        <v>31.849999999999998</v>
      </c>
      <c r="F20" s="141">
        <f>'18 мес'!E25</f>
        <v>0</v>
      </c>
      <c r="G20" s="142">
        <f>'18 мес'!H25</f>
        <v>86.85</v>
      </c>
    </row>
    <row r="21" spans="1:7">
      <c r="A21" s="134">
        <v>6</v>
      </c>
      <c r="B21" s="143">
        <f t="shared" si="0"/>
        <v>43560</v>
      </c>
      <c r="C21" s="129">
        <f>'18 мес'!C26</f>
        <v>55</v>
      </c>
      <c r="D21" s="141">
        <f>'18 мес'!I26</f>
        <v>9.1666666666666661</v>
      </c>
      <c r="E21" s="129">
        <f>'18 мес'!D26</f>
        <v>29.604166666666668</v>
      </c>
      <c r="F21" s="141">
        <f>'18 мес'!E26</f>
        <v>0</v>
      </c>
      <c r="G21" s="142">
        <f>'18 мес'!H26</f>
        <v>84.604166666666671</v>
      </c>
    </row>
    <row r="22" spans="1:7">
      <c r="A22" s="134">
        <v>7</v>
      </c>
      <c r="B22" s="143">
        <f t="shared" si="0"/>
        <v>43590</v>
      </c>
      <c r="C22" s="129">
        <f>'18 мес'!C27</f>
        <v>55</v>
      </c>
      <c r="D22" s="141">
        <f>'18 мес'!I27</f>
        <v>9.1666666666666661</v>
      </c>
      <c r="E22" s="129">
        <f>'18 мес'!D27</f>
        <v>27.358333333333334</v>
      </c>
      <c r="F22" s="141">
        <f>'18 мес'!E27</f>
        <v>0</v>
      </c>
      <c r="G22" s="142">
        <f>'18 мес'!H27</f>
        <v>82.358333333333334</v>
      </c>
    </row>
    <row r="23" spans="1:7">
      <c r="A23" s="134">
        <v>8</v>
      </c>
      <c r="B23" s="143">
        <f t="shared" si="0"/>
        <v>43621</v>
      </c>
      <c r="C23" s="129">
        <f>'18 мес'!C28</f>
        <v>55</v>
      </c>
      <c r="D23" s="141">
        <f>'18 мес'!I28</f>
        <v>9.1666666666666661</v>
      </c>
      <c r="E23" s="129">
        <f>'18 мес'!D28</f>
        <v>25.112500000000001</v>
      </c>
      <c r="F23" s="141">
        <f>'18 мес'!E28</f>
        <v>0</v>
      </c>
      <c r="G23" s="142">
        <f>'18 мес'!H28</f>
        <v>80.112499999999997</v>
      </c>
    </row>
    <row r="24" spans="1:7">
      <c r="A24" s="134">
        <v>9</v>
      </c>
      <c r="B24" s="143">
        <f t="shared" si="0"/>
        <v>43651</v>
      </c>
      <c r="C24" s="129">
        <f>'18 мес'!C29</f>
        <v>55</v>
      </c>
      <c r="D24" s="141">
        <f>'18 мес'!I29</f>
        <v>9.1666666666666661</v>
      </c>
      <c r="E24" s="129">
        <f>'18 мес'!D29</f>
        <v>22.866666666666664</v>
      </c>
      <c r="F24" s="141">
        <f>'18 мес'!E29</f>
        <v>0</v>
      </c>
      <c r="G24" s="142">
        <f>'18 мес'!H29</f>
        <v>77.86666666666666</v>
      </c>
    </row>
    <row r="25" spans="1:7">
      <c r="A25" s="134">
        <v>10</v>
      </c>
      <c r="B25" s="143">
        <f t="shared" si="0"/>
        <v>43682</v>
      </c>
      <c r="C25" s="129">
        <f>'18 мес'!C30</f>
        <v>55</v>
      </c>
      <c r="D25" s="141">
        <f>'18 мес'!I30</f>
        <v>9.1666666666666661</v>
      </c>
      <c r="E25" s="129">
        <f>'18 мес'!D30</f>
        <v>20.620833333333334</v>
      </c>
      <c r="F25" s="141">
        <f>'18 мес'!E30</f>
        <v>0</v>
      </c>
      <c r="G25" s="142">
        <f>'18 мес'!H30</f>
        <v>75.620833333333337</v>
      </c>
    </row>
    <row r="26" spans="1:7">
      <c r="A26" s="134">
        <v>11</v>
      </c>
      <c r="B26" s="143">
        <f t="shared" si="0"/>
        <v>43713</v>
      </c>
      <c r="C26" s="129">
        <f>'18 мес'!C31</f>
        <v>55</v>
      </c>
      <c r="D26" s="141">
        <f>'18 мес'!I31</f>
        <v>9.1666666666666661</v>
      </c>
      <c r="E26" s="129">
        <f>'18 мес'!D31</f>
        <v>18.375</v>
      </c>
      <c r="F26" s="141">
        <f>'18 мес'!E31</f>
        <v>0</v>
      </c>
      <c r="G26" s="142">
        <f>'18 мес'!H31</f>
        <v>73.375</v>
      </c>
    </row>
    <row r="27" spans="1:7">
      <c r="A27" s="134">
        <v>12</v>
      </c>
      <c r="B27" s="143">
        <f t="shared" si="0"/>
        <v>43743</v>
      </c>
      <c r="C27" s="129">
        <f>'18 мес'!C32</f>
        <v>55</v>
      </c>
      <c r="D27" s="141">
        <f>'18 мес'!I32</f>
        <v>9.1666666666666661</v>
      </c>
      <c r="E27" s="129">
        <f>'18 мес'!D32</f>
        <v>16.129166666666666</v>
      </c>
      <c r="F27" s="141">
        <f>'18 мес'!E32</f>
        <v>0</v>
      </c>
      <c r="G27" s="142">
        <f>'18 мес'!H32</f>
        <v>71.129166666666663</v>
      </c>
    </row>
    <row r="28" spans="1:7">
      <c r="A28" s="134">
        <v>13</v>
      </c>
      <c r="B28" s="143">
        <f t="shared" si="0"/>
        <v>43774</v>
      </c>
      <c r="C28" s="129">
        <f>'18 мес'!C33</f>
        <v>55</v>
      </c>
      <c r="D28" s="141">
        <f>'18 мес'!I33</f>
        <v>9.1666666666666661</v>
      </c>
      <c r="E28" s="129">
        <f>'18 мес'!D33</f>
        <v>13.883333333333333</v>
      </c>
      <c r="F28" s="141">
        <f>'18 мес'!E33</f>
        <v>0</v>
      </c>
      <c r="G28" s="142">
        <f>'18 мес'!H33</f>
        <v>68.883333333333326</v>
      </c>
    </row>
    <row r="29" spans="1:7">
      <c r="A29" s="134">
        <v>14</v>
      </c>
      <c r="B29" s="143">
        <f t="shared" si="0"/>
        <v>43804</v>
      </c>
      <c r="C29" s="129">
        <f>'18 мес'!C34</f>
        <v>55</v>
      </c>
      <c r="D29" s="141">
        <f>'18 мес'!I34</f>
        <v>9.1666666666666661</v>
      </c>
      <c r="E29" s="129">
        <f>'18 мес'!D34</f>
        <v>11.637500000000001</v>
      </c>
      <c r="F29" s="141">
        <f>'18 мес'!E34</f>
        <v>0</v>
      </c>
      <c r="G29" s="142">
        <f>'18 мес'!H34</f>
        <v>66.637500000000003</v>
      </c>
    </row>
    <row r="30" spans="1:7">
      <c r="A30" s="134">
        <v>15</v>
      </c>
      <c r="B30" s="143">
        <f t="shared" si="0"/>
        <v>43835</v>
      </c>
      <c r="C30" s="129">
        <f>'18 мес'!C35</f>
        <v>55</v>
      </c>
      <c r="D30" s="141">
        <f>'18 мес'!I35</f>
        <v>9.1666666666666661</v>
      </c>
      <c r="E30" s="129">
        <f>'18 мес'!D35</f>
        <v>9.3916666666666675</v>
      </c>
      <c r="F30" s="141">
        <f>'18 мес'!E35</f>
        <v>0</v>
      </c>
      <c r="G30" s="142">
        <f>'18 мес'!H35</f>
        <v>64.391666666666666</v>
      </c>
    </row>
    <row r="31" spans="1:7">
      <c r="A31" s="134">
        <v>16</v>
      </c>
      <c r="B31" s="143">
        <f t="shared" si="0"/>
        <v>43866</v>
      </c>
      <c r="C31" s="129">
        <f>'18 мес'!C36</f>
        <v>55</v>
      </c>
      <c r="D31" s="141">
        <f>'18 мес'!I36</f>
        <v>9.1666666666666661</v>
      </c>
      <c r="E31" s="129">
        <f>'18 мес'!D36</f>
        <v>7.145833333333333</v>
      </c>
      <c r="F31" s="141">
        <f>'18 мес'!E36</f>
        <v>0</v>
      </c>
      <c r="G31" s="142">
        <f>'18 мес'!H36</f>
        <v>62.145833333333336</v>
      </c>
    </row>
    <row r="32" spans="1:7">
      <c r="A32" s="134">
        <v>17</v>
      </c>
      <c r="B32" s="143">
        <f t="shared" si="0"/>
        <v>43895</v>
      </c>
      <c r="C32" s="129">
        <f>'18 мес'!C37</f>
        <v>55</v>
      </c>
      <c r="D32" s="141">
        <f>'18 мес'!I37</f>
        <v>9.1666666666666661</v>
      </c>
      <c r="E32" s="129">
        <f>'18 мес'!D37</f>
        <v>4.8999999999999995</v>
      </c>
      <c r="F32" s="141">
        <f>'18 мес'!E37</f>
        <v>0</v>
      </c>
      <c r="G32" s="142">
        <f>'18 мес'!H37</f>
        <v>59.9</v>
      </c>
    </row>
    <row r="33" spans="1:7">
      <c r="A33" s="134">
        <v>18</v>
      </c>
      <c r="B33" s="143">
        <f t="shared" si="0"/>
        <v>43926</v>
      </c>
      <c r="C33" s="129">
        <f>'18 мес'!C38</f>
        <v>65</v>
      </c>
      <c r="D33" s="141">
        <f>'18 мес'!I38</f>
        <v>10.833333333333334</v>
      </c>
      <c r="E33" s="129">
        <f>'18 мес'!D38</f>
        <v>2.6541666666666663</v>
      </c>
      <c r="F33" s="141">
        <f>'18 мес'!E38</f>
        <v>0</v>
      </c>
      <c r="G33" s="142">
        <f>'18 мес'!H38</f>
        <v>67.654166666666669</v>
      </c>
    </row>
    <row r="34" spans="1:7">
      <c r="A34" s="284" t="s">
        <v>1</v>
      </c>
      <c r="B34" s="285"/>
      <c r="C34" s="144">
        <f>SUM(C15:C33)</f>
        <v>1000</v>
      </c>
      <c r="D34" s="144">
        <f>SUM(D15:D33)</f>
        <v>166.66666666666666</v>
      </c>
      <c r="E34" s="144"/>
      <c r="F34" s="145"/>
      <c r="G34" s="146"/>
    </row>
    <row r="35" spans="1:7">
      <c r="A35" s="147" t="s">
        <v>187</v>
      </c>
      <c r="B35" s="147"/>
      <c r="C35" s="147"/>
      <c r="D35" s="147"/>
      <c r="E35" s="147"/>
      <c r="F35" s="147"/>
      <c r="G35" s="147"/>
    </row>
    <row r="36" spans="1:7" ht="7.5" customHeight="1">
      <c r="A36" s="148"/>
      <c r="B36" s="148"/>
      <c r="C36" s="148"/>
      <c r="D36" s="148"/>
      <c r="E36" s="148"/>
      <c r="F36" s="148"/>
      <c r="G36" s="148"/>
    </row>
    <row r="37" spans="1:7" ht="15.75" customHeight="1">
      <c r="A37" s="149"/>
      <c r="B37" s="149"/>
      <c r="C37" s="149"/>
      <c r="D37" s="149"/>
      <c r="E37" s="149"/>
      <c r="F37" s="149"/>
      <c r="G37" s="149"/>
    </row>
    <row r="38" spans="1:7" ht="15.75" customHeight="1">
      <c r="A38" s="149"/>
      <c r="B38" s="149"/>
      <c r="C38" s="149"/>
      <c r="D38" s="149"/>
      <c r="E38" s="149"/>
      <c r="F38" s="149"/>
      <c r="G38" s="149"/>
    </row>
    <row r="39" spans="1:7" ht="11.25" customHeight="1">
      <c r="A39" s="149"/>
      <c r="B39" s="149"/>
      <c r="C39" s="149"/>
      <c r="D39" s="149"/>
      <c r="E39" s="149"/>
      <c r="F39" s="149"/>
      <c r="G39" s="149"/>
    </row>
    <row r="40" spans="1:7">
      <c r="A40" s="150"/>
      <c r="B40" s="150"/>
      <c r="C40" s="150"/>
      <c r="D40" s="150"/>
      <c r="E40" s="150"/>
      <c r="F40" s="150"/>
      <c r="G40" s="150"/>
    </row>
    <row r="41" spans="1:7">
      <c r="A41" s="151"/>
      <c r="B41" s="150"/>
      <c r="C41" s="150"/>
      <c r="D41" s="150"/>
      <c r="E41" s="150"/>
      <c r="F41" s="126"/>
      <c r="G41" s="150"/>
    </row>
    <row r="42" spans="1:7">
      <c r="A42" s="152"/>
      <c r="B42" s="152"/>
      <c r="C42" s="152"/>
      <c r="D42" s="150"/>
      <c r="E42" s="150"/>
      <c r="F42" s="150"/>
      <c r="G42" s="150"/>
    </row>
    <row r="43" spans="1:7">
      <c r="A43" s="150"/>
      <c r="B43" s="150"/>
      <c r="C43" s="150"/>
      <c r="D43" s="150"/>
      <c r="E43" s="150"/>
    </row>
    <row r="44" spans="1:7">
      <c r="A44" s="153"/>
      <c r="B44" s="154"/>
      <c r="C44" s="154"/>
      <c r="D44" s="150"/>
      <c r="E44" s="150"/>
      <c r="F44" s="286"/>
      <c r="G44" s="286"/>
    </row>
    <row r="45" spans="1:7">
      <c r="A45" s="287"/>
      <c r="B45" s="287"/>
      <c r="C45" s="155"/>
      <c r="D45" s="150"/>
      <c r="E45" s="150"/>
      <c r="F45" s="156"/>
      <c r="G45" s="150"/>
    </row>
    <row r="46" spans="1:7">
      <c r="D46" s="155"/>
      <c r="E46" s="155"/>
      <c r="F46" s="155"/>
      <c r="G46" s="155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3:G3"/>
    <mergeCell ref="A34:B34"/>
    <mergeCell ref="F44:G44"/>
    <mergeCell ref="A45:B45"/>
  </mergeCells>
  <pageMargins left="0.94" right="0.24" top="0.35433070866141736" bottom="0.39370078740157483" header="0.31496062992125984" footer="0.31496062992125984"/>
  <pageSetup paperSize="9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46"/>
  <sheetViews>
    <sheetView workbookViewId="0">
      <selection activeCell="C17" sqref="C17"/>
    </sheetView>
  </sheetViews>
  <sheetFormatPr defaultColWidth="9.140625" defaultRowHeight="15.75"/>
  <cols>
    <col min="1" max="1" width="9.28515625" style="125" customWidth="1"/>
    <col min="2" max="2" width="11.28515625" style="125" customWidth="1"/>
    <col min="3" max="3" width="14" style="125" customWidth="1"/>
    <col min="4" max="4" width="14.140625" style="125" customWidth="1"/>
    <col min="5" max="5" width="16.85546875" style="125" customWidth="1"/>
    <col min="6" max="6" width="17.140625" style="125" customWidth="1"/>
    <col min="7" max="7" width="13.5703125" style="125" customWidth="1"/>
    <col min="8" max="16384" width="9.140625" style="125"/>
  </cols>
  <sheetData>
    <row r="1" spans="1:7">
      <c r="E1" s="126"/>
    </row>
    <row r="3" spans="1:7">
      <c r="A3" s="288" t="s">
        <v>32</v>
      </c>
      <c r="B3" s="288"/>
      <c r="C3" s="288"/>
      <c r="D3" s="288"/>
      <c r="E3" s="288"/>
      <c r="F3" s="288"/>
      <c r="G3" s="288"/>
    </row>
    <row r="5" spans="1:7">
      <c r="A5" s="126"/>
      <c r="B5" s="126"/>
      <c r="F5" s="127"/>
    </row>
    <row r="7" spans="1:7">
      <c r="A7" s="128" t="s">
        <v>190</v>
      </c>
      <c r="B7" s="128"/>
      <c r="C7" s="128"/>
      <c r="D7" s="128"/>
      <c r="E7" s="129">
        <f>'18 мес (аннуитет)'!F5</f>
        <v>1000</v>
      </c>
      <c r="G7" s="128"/>
    </row>
    <row r="8" spans="1:7">
      <c r="A8" s="128" t="s">
        <v>184</v>
      </c>
      <c r="B8" s="128"/>
      <c r="C8" s="128"/>
      <c r="D8" s="128"/>
      <c r="E8" s="130">
        <f>E7*20/120</f>
        <v>166.66666666666666</v>
      </c>
      <c r="G8" s="131"/>
    </row>
    <row r="9" spans="1:7">
      <c r="A9" s="128" t="s">
        <v>70</v>
      </c>
      <c r="B9" s="128"/>
      <c r="C9" s="128"/>
      <c r="D9" s="128"/>
      <c r="E9" s="132">
        <f>'18 мес (аннуитет)'!F6</f>
        <v>0</v>
      </c>
      <c r="G9" s="131"/>
    </row>
    <row r="10" spans="1:7">
      <c r="A10" s="128" t="s">
        <v>183</v>
      </c>
      <c r="B10" s="128"/>
      <c r="C10" s="128"/>
      <c r="D10" s="128"/>
      <c r="E10" s="133">
        <f>'18 мес (аннуитет)'!G6</f>
        <v>0</v>
      </c>
      <c r="G10" s="128"/>
    </row>
    <row r="11" spans="1:7">
      <c r="A11" s="128" t="s">
        <v>35</v>
      </c>
      <c r="B11" s="128"/>
      <c r="C11" s="128"/>
      <c r="D11" s="128"/>
      <c r="E11" s="134">
        <f>'18 мес (аннуитет)'!F7</f>
        <v>18</v>
      </c>
      <c r="G11" s="128"/>
    </row>
    <row r="12" spans="1:7">
      <c r="A12" s="128" t="s">
        <v>82</v>
      </c>
      <c r="B12" s="128"/>
      <c r="C12" s="128"/>
      <c r="D12" s="128"/>
      <c r="E12" s="134" t="s">
        <v>202</v>
      </c>
      <c r="G12" s="128"/>
    </row>
    <row r="13" spans="1:7">
      <c r="A13" s="135"/>
      <c r="B13" s="135"/>
      <c r="C13" s="135"/>
      <c r="D13" s="135"/>
      <c r="E13" s="134"/>
      <c r="F13" s="134"/>
      <c r="G13" s="134"/>
    </row>
    <row r="14" spans="1:7" ht="71.25">
      <c r="A14" s="136" t="s">
        <v>185</v>
      </c>
      <c r="B14" s="137" t="s">
        <v>205</v>
      </c>
      <c r="C14" s="138" t="s">
        <v>206</v>
      </c>
      <c r="D14" s="138" t="s">
        <v>109</v>
      </c>
      <c r="E14" s="138" t="s">
        <v>104</v>
      </c>
      <c r="F14" s="138" t="s">
        <v>186</v>
      </c>
      <c r="G14" s="137" t="s">
        <v>108</v>
      </c>
    </row>
    <row r="15" spans="1:7">
      <c r="A15" s="139" t="s">
        <v>121</v>
      </c>
      <c r="B15" s="140" t="s">
        <v>114</v>
      </c>
      <c r="C15" s="129">
        <f>E10</f>
        <v>0</v>
      </c>
      <c r="D15" s="141">
        <f>C15*20/120</f>
        <v>0</v>
      </c>
      <c r="E15" s="129"/>
      <c r="F15" s="141"/>
      <c r="G15" s="142"/>
    </row>
    <row r="16" spans="1:7">
      <c r="A16" s="134">
        <v>1</v>
      </c>
      <c r="B16" s="143">
        <f>EOMONTH(B15,0)+DAY(B15)</f>
        <v>43409</v>
      </c>
      <c r="C16" s="129">
        <f>'18 мес (аннуитет)'!C21</f>
        <v>38.69596627662127</v>
      </c>
      <c r="D16" s="141">
        <f>'18 мес (аннуитет)'!I21</f>
        <v>6.449327712770212</v>
      </c>
      <c r="E16" s="129">
        <f>'18 мес (аннуитет)'!D21</f>
        <v>40.833333333333336</v>
      </c>
      <c r="F16" s="141">
        <f>'18 мес (аннуитет)'!E21</f>
        <v>0</v>
      </c>
      <c r="G16" s="142">
        <f>'18 мес (аннуитет)'!H21</f>
        <v>79.529299609954606</v>
      </c>
    </row>
    <row r="17" spans="1:7">
      <c r="A17" s="134">
        <v>2</v>
      </c>
      <c r="B17" s="143">
        <f t="shared" ref="B17:B33" si="0">EOMONTH(B16,0)+DAY(B16)</f>
        <v>43439</v>
      </c>
      <c r="C17" s="129">
        <f>'18 мес (аннуитет)'!C22</f>
        <v>40.276051566249969</v>
      </c>
      <c r="D17" s="141">
        <f>'18 мес (аннуитет)'!I22</f>
        <v>6.712675261041662</v>
      </c>
      <c r="E17" s="129">
        <f>'18 мес (аннуитет)'!D22</f>
        <v>39.253248043704637</v>
      </c>
      <c r="F17" s="141">
        <f>'18 мес (аннуитет)'!E22</f>
        <v>0</v>
      </c>
      <c r="G17" s="142">
        <f>'18 мес (аннуитет)'!H22</f>
        <v>79.529299609954606</v>
      </c>
    </row>
    <row r="18" spans="1:7">
      <c r="A18" s="134">
        <v>3</v>
      </c>
      <c r="B18" s="143">
        <f t="shared" si="0"/>
        <v>43470</v>
      </c>
      <c r="C18" s="129">
        <f>'18 мес (аннуитет)'!C23</f>
        <v>41.920657005205179</v>
      </c>
      <c r="D18" s="141">
        <f>'18 мес (аннуитет)'!I23</f>
        <v>6.9867761675341971</v>
      </c>
      <c r="E18" s="129">
        <f>'18 мес (аннуитет)'!D23</f>
        <v>37.608642604749427</v>
      </c>
      <c r="F18" s="141">
        <f>'18 мес (аннуитет)'!E23</f>
        <v>0</v>
      </c>
      <c r="G18" s="142">
        <f>'18 мес (аннуитет)'!H23</f>
        <v>79.529299609954606</v>
      </c>
    </row>
    <row r="19" spans="1:7">
      <c r="A19" s="134">
        <v>4</v>
      </c>
      <c r="B19" s="143">
        <f t="shared" si="0"/>
        <v>43501</v>
      </c>
      <c r="C19" s="129">
        <f>'18 мес (аннуитет)'!C24</f>
        <v>43.632417166251059</v>
      </c>
      <c r="D19" s="141">
        <f>'18 мес (аннуитет)'!I24</f>
        <v>7.2720695277085099</v>
      </c>
      <c r="E19" s="129">
        <f>'18 мес (аннуитет)'!D24</f>
        <v>35.896882443703547</v>
      </c>
      <c r="F19" s="141">
        <f>'18 мес (аннуитет)'!E24</f>
        <v>0</v>
      </c>
      <c r="G19" s="142">
        <f>'18 мес (аннуитет)'!H24</f>
        <v>79.529299609954606</v>
      </c>
    </row>
    <row r="20" spans="1:7">
      <c r="A20" s="134">
        <v>5</v>
      </c>
      <c r="B20" s="143">
        <f t="shared" si="0"/>
        <v>43529</v>
      </c>
      <c r="C20" s="129">
        <f>'18 мес (аннуитет)'!C25</f>
        <v>45.414074200539638</v>
      </c>
      <c r="D20" s="141">
        <f>'18 мес (аннуитет)'!I25</f>
        <v>7.5690123667566063</v>
      </c>
      <c r="E20" s="129">
        <f>'18 мес (аннуитет)'!D25</f>
        <v>34.115225409414968</v>
      </c>
      <c r="F20" s="141">
        <f>'18 мес (аннуитет)'!E25</f>
        <v>0</v>
      </c>
      <c r="G20" s="142">
        <f>'18 мес (аннуитет)'!H25</f>
        <v>79.529299609954606</v>
      </c>
    </row>
    <row r="21" spans="1:7">
      <c r="A21" s="134">
        <v>6</v>
      </c>
      <c r="B21" s="143">
        <f t="shared" si="0"/>
        <v>43560</v>
      </c>
      <c r="C21" s="129">
        <f>'18 мес (аннуитет)'!C26</f>
        <v>47.268482230395009</v>
      </c>
      <c r="D21" s="141">
        <f>'18 мес (аннуитет)'!I26</f>
        <v>7.8780803717325023</v>
      </c>
      <c r="E21" s="129">
        <f>'18 мес (аннуитет)'!D26</f>
        <v>32.260817379559597</v>
      </c>
      <c r="F21" s="141">
        <f>'18 мес (аннуитет)'!E26</f>
        <v>0</v>
      </c>
      <c r="G21" s="142">
        <f>'18 мес (аннуитет)'!H26</f>
        <v>79.529299609954606</v>
      </c>
    </row>
    <row r="22" spans="1:7">
      <c r="A22" s="134">
        <v>7</v>
      </c>
      <c r="B22" s="143">
        <f t="shared" si="0"/>
        <v>43590</v>
      </c>
      <c r="C22" s="129">
        <f>'18 мес (аннуитет)'!C27</f>
        <v>49.198611921469464</v>
      </c>
      <c r="D22" s="141">
        <f>'18 мес (аннуитет)'!I27</f>
        <v>8.1997686535782446</v>
      </c>
      <c r="E22" s="129">
        <f>'18 мес (аннуитет)'!D27</f>
        <v>30.330687688485138</v>
      </c>
      <c r="F22" s="141">
        <f>'18 мес (аннуитет)'!E27</f>
        <v>0</v>
      </c>
      <c r="G22" s="142">
        <f>'18 мес (аннуитет)'!H27</f>
        <v>79.529299609954606</v>
      </c>
    </row>
    <row r="23" spans="1:7">
      <c r="A23" s="134">
        <v>8</v>
      </c>
      <c r="B23" s="143">
        <f t="shared" si="0"/>
        <v>43621</v>
      </c>
      <c r="C23" s="129">
        <f>'18 мес (аннуитет)'!C28</f>
        <v>51.20755524159614</v>
      </c>
      <c r="D23" s="141">
        <f>'18 мес (аннуитет)'!I28</f>
        <v>8.5345925402660239</v>
      </c>
      <c r="E23" s="129">
        <f>'18 мес (аннуитет)'!D28</f>
        <v>28.321744368358466</v>
      </c>
      <c r="F23" s="141">
        <f>'18 мес (аннуитет)'!E28</f>
        <v>0</v>
      </c>
      <c r="G23" s="142">
        <f>'18 мес (аннуитет)'!H28</f>
        <v>79.529299609954606</v>
      </c>
    </row>
    <row r="24" spans="1:7">
      <c r="A24" s="134">
        <v>9</v>
      </c>
      <c r="B24" s="143">
        <f t="shared" si="0"/>
        <v>43651</v>
      </c>
      <c r="C24" s="129">
        <f>'18 мес (аннуитет)'!C29</f>
        <v>53.298530413961316</v>
      </c>
      <c r="D24" s="141">
        <f>'18 мес (аннуитет)'!I29</f>
        <v>8.8830884023268855</v>
      </c>
      <c r="E24" s="129">
        <f>'18 мес (аннуитет)'!D29</f>
        <v>26.230769195993293</v>
      </c>
      <c r="F24" s="141">
        <f>'18 мес (аннуитет)'!E29</f>
        <v>0</v>
      </c>
      <c r="G24" s="142">
        <f>'18 мес (аннуитет)'!H29</f>
        <v>79.529299609954606</v>
      </c>
    </row>
    <row r="25" spans="1:7">
      <c r="A25" s="134">
        <v>10</v>
      </c>
      <c r="B25" s="143">
        <f t="shared" si="0"/>
        <v>43682</v>
      </c>
      <c r="C25" s="129">
        <f>'18 мес (аннуитет)'!C30</f>
        <v>55.474887072531402</v>
      </c>
      <c r="D25" s="141">
        <f>'18 мес (аннуитет)'!I30</f>
        <v>9.2458145120885664</v>
      </c>
      <c r="E25" s="129">
        <f>'18 мес (аннуитет)'!D30</f>
        <v>24.054412537423204</v>
      </c>
      <c r="F25" s="141">
        <f>'18 мес (аннуитет)'!E30</f>
        <v>0</v>
      </c>
      <c r="G25" s="142">
        <f>'18 мес (аннуитет)'!H30</f>
        <v>79.529299609954606</v>
      </c>
    </row>
    <row r="26" spans="1:7">
      <c r="A26" s="134">
        <v>11</v>
      </c>
      <c r="B26" s="143">
        <f t="shared" si="0"/>
        <v>43713</v>
      </c>
      <c r="C26" s="129">
        <f>'18 мес (аннуитет)'!C31</f>
        <v>57.740111627993102</v>
      </c>
      <c r="D26" s="141">
        <f>'18 мес (аннуитет)'!I31</f>
        <v>9.6233519379988497</v>
      </c>
      <c r="E26" s="129">
        <f>'18 мес (аннуитет)'!D31</f>
        <v>21.789187981961508</v>
      </c>
      <c r="F26" s="141">
        <f>'18 мес (аннуитет)'!E31</f>
        <v>0</v>
      </c>
      <c r="G26" s="142">
        <f>'18 мес (аннуитет)'!H31</f>
        <v>79.529299609954606</v>
      </c>
    </row>
    <row r="27" spans="1:7">
      <c r="A27" s="134">
        <v>12</v>
      </c>
      <c r="B27" s="143">
        <f t="shared" si="0"/>
        <v>43743</v>
      </c>
      <c r="C27" s="129">
        <f>'18 мес (аннуитет)'!C32</f>
        <v>60.09783285280281</v>
      </c>
      <c r="D27" s="141">
        <f>'18 мес (аннуитет)'!I32</f>
        <v>10.016305475467135</v>
      </c>
      <c r="E27" s="129">
        <f>'18 мес (аннуитет)'!D32</f>
        <v>19.431466757151792</v>
      </c>
      <c r="F27" s="141">
        <f>'18 мес (аннуитет)'!E32</f>
        <v>0</v>
      </c>
      <c r="G27" s="142">
        <f>'18 мес (аннуитет)'!H32</f>
        <v>79.529299609954606</v>
      </c>
    </row>
    <row r="28" spans="1:7">
      <c r="A28" s="134">
        <v>13</v>
      </c>
      <c r="B28" s="143">
        <f t="shared" si="0"/>
        <v>43774</v>
      </c>
      <c r="C28" s="129">
        <f>'18 мес (аннуитет)'!C33</f>
        <v>62.551827694292264</v>
      </c>
      <c r="D28" s="141">
        <f>'18 мес (аннуитет)'!I33</f>
        <v>10.425304615715378</v>
      </c>
      <c r="E28" s="129">
        <f>'18 мес (аннуитет)'!D33</f>
        <v>16.977471915662342</v>
      </c>
      <c r="F28" s="141">
        <f>'18 мес (аннуитет)'!E33</f>
        <v>0</v>
      </c>
      <c r="G28" s="142">
        <f>'18 мес (аннуитет)'!H33</f>
        <v>79.529299609954606</v>
      </c>
    </row>
    <row r="29" spans="1:7">
      <c r="A29" s="134">
        <v>14</v>
      </c>
      <c r="B29" s="143">
        <f t="shared" si="0"/>
        <v>43804</v>
      </c>
      <c r="C29" s="129">
        <f>'18 мес (аннуитет)'!C34</f>
        <v>65.106027325142534</v>
      </c>
      <c r="D29" s="141">
        <f>'18 мес (аннуитет)'!I34</f>
        <v>10.851004554190421</v>
      </c>
      <c r="E29" s="129">
        <f>'18 мес (аннуитет)'!D34</f>
        <v>14.423272284812073</v>
      </c>
      <c r="F29" s="141">
        <f>'18 мес (аннуитет)'!E34</f>
        <v>0</v>
      </c>
      <c r="G29" s="142">
        <f>'18 мес (аннуитет)'!H34</f>
        <v>79.529299609954606</v>
      </c>
    </row>
    <row r="30" spans="1:7">
      <c r="A30" s="134">
        <v>15</v>
      </c>
      <c r="B30" s="143">
        <f t="shared" si="0"/>
        <v>43835</v>
      </c>
      <c r="C30" s="129">
        <f>'18 мес (аннуитет)'!C35</f>
        <v>67.764523440919191</v>
      </c>
      <c r="D30" s="141">
        <f>'18 мес (аннуитет)'!I35</f>
        <v>11.2940872401532</v>
      </c>
      <c r="E30" s="129">
        <f>'18 мес (аннуитет)'!D35</f>
        <v>11.764776169035422</v>
      </c>
      <c r="F30" s="141">
        <f>'18 мес (аннуитет)'!E35</f>
        <v>0</v>
      </c>
      <c r="G30" s="142">
        <f>'18 мес (аннуитет)'!H35</f>
        <v>79.52929960995462</v>
      </c>
    </row>
    <row r="31" spans="1:7">
      <c r="A31" s="134">
        <v>16</v>
      </c>
      <c r="B31" s="143">
        <f t="shared" si="0"/>
        <v>43866</v>
      </c>
      <c r="C31" s="129">
        <f>'18 мес (аннуитет)'!C36</f>
        <v>70.531574814756723</v>
      </c>
      <c r="D31" s="141">
        <f>'18 мес (аннуитет)'!I36</f>
        <v>11.755262469126119</v>
      </c>
      <c r="E31" s="129">
        <f>'18 мес (аннуитет)'!D36</f>
        <v>8.9977247951978878</v>
      </c>
      <c r="F31" s="141">
        <f>'18 мес (аннуитет)'!E36</f>
        <v>0</v>
      </c>
      <c r="G31" s="142">
        <f>'18 мес (аннуитет)'!H36</f>
        <v>79.529299609954606</v>
      </c>
    </row>
    <row r="32" spans="1:7">
      <c r="A32" s="134">
        <v>17</v>
      </c>
      <c r="B32" s="143">
        <f t="shared" si="0"/>
        <v>43895</v>
      </c>
      <c r="C32" s="129">
        <f>'18 мес (аннуитет)'!C37</f>
        <v>73.411614119692615</v>
      </c>
      <c r="D32" s="141">
        <f>'18 мес (аннуитет)'!I37</f>
        <v>12.235269019948769</v>
      </c>
      <c r="E32" s="129">
        <f>'18 мес (аннуитет)'!D37</f>
        <v>6.1176854902619873</v>
      </c>
      <c r="F32" s="141">
        <f>'18 мес (аннуитет)'!E37</f>
        <v>0</v>
      </c>
      <c r="G32" s="142">
        <f>'18 мес (аннуитет)'!H37</f>
        <v>79.529299609954606</v>
      </c>
    </row>
    <row r="33" spans="1:7">
      <c r="A33" s="134">
        <v>18</v>
      </c>
      <c r="B33" s="143">
        <f t="shared" si="0"/>
        <v>43926</v>
      </c>
      <c r="C33" s="129">
        <f>'18 мес (аннуитет)'!C38</f>
        <v>76.409255029580066</v>
      </c>
      <c r="D33" s="141">
        <f>'18 мес (аннуитет)'!I38</f>
        <v>12.734875838263346</v>
      </c>
      <c r="E33" s="129">
        <f>'18 мес (аннуитет)'!D38</f>
        <v>3.1200445803745391</v>
      </c>
      <c r="F33" s="141">
        <f>'18 мес (аннуитет)'!E38</f>
        <v>0</v>
      </c>
      <c r="G33" s="142">
        <f>'18 мес (аннуитет)'!H38</f>
        <v>79.529299609954606</v>
      </c>
    </row>
    <row r="34" spans="1:7">
      <c r="A34" s="284" t="s">
        <v>1</v>
      </c>
      <c r="B34" s="285"/>
      <c r="C34" s="144">
        <f>SUM(C15:C33)</f>
        <v>999.99999999999966</v>
      </c>
      <c r="D34" s="144">
        <f>SUM(D15:D33)</f>
        <v>166.66666666666663</v>
      </c>
      <c r="E34" s="144"/>
      <c r="F34" s="145"/>
      <c r="G34" s="146"/>
    </row>
    <row r="35" spans="1:7">
      <c r="A35" s="147" t="s">
        <v>187</v>
      </c>
      <c r="B35" s="147"/>
      <c r="C35" s="147"/>
      <c r="D35" s="147"/>
      <c r="E35" s="147"/>
      <c r="F35" s="147"/>
      <c r="G35" s="147"/>
    </row>
    <row r="36" spans="1:7" ht="7.5" customHeight="1">
      <c r="A36" s="148"/>
      <c r="B36" s="148"/>
      <c r="C36" s="148"/>
      <c r="D36" s="148"/>
      <c r="E36" s="148"/>
      <c r="F36" s="148"/>
      <c r="G36" s="148"/>
    </row>
    <row r="37" spans="1:7" ht="15.75" customHeight="1">
      <c r="A37" s="149"/>
      <c r="B37" s="149"/>
      <c r="C37" s="149"/>
      <c r="D37" s="149"/>
      <c r="E37" s="149"/>
      <c r="F37" s="149"/>
      <c r="G37" s="149"/>
    </row>
    <row r="38" spans="1:7" ht="15.75" customHeight="1">
      <c r="A38" s="149"/>
      <c r="B38" s="149"/>
      <c r="C38" s="149"/>
      <c r="D38" s="149"/>
      <c r="E38" s="149"/>
      <c r="F38" s="149"/>
      <c r="G38" s="149"/>
    </row>
    <row r="39" spans="1:7" ht="11.25" customHeight="1">
      <c r="A39" s="149"/>
      <c r="B39" s="149"/>
      <c r="C39" s="149"/>
      <c r="D39" s="149"/>
      <c r="E39" s="149"/>
      <c r="F39" s="149"/>
      <c r="G39" s="149"/>
    </row>
    <row r="40" spans="1:7">
      <c r="A40" s="150"/>
      <c r="B40" s="150"/>
      <c r="C40" s="150"/>
      <c r="D40" s="150"/>
      <c r="E40" s="150"/>
      <c r="F40" s="150"/>
      <c r="G40" s="150"/>
    </row>
    <row r="41" spans="1:7">
      <c r="A41" s="151"/>
      <c r="B41" s="150"/>
      <c r="C41" s="150"/>
      <c r="D41" s="150"/>
      <c r="E41" s="150"/>
      <c r="F41" s="126"/>
      <c r="G41" s="150"/>
    </row>
    <row r="42" spans="1:7">
      <c r="A42" s="152"/>
      <c r="B42" s="152"/>
      <c r="C42" s="152"/>
      <c r="D42" s="150"/>
      <c r="E42" s="150"/>
      <c r="F42" s="150"/>
      <c r="G42" s="150"/>
    </row>
    <row r="43" spans="1:7">
      <c r="A43" s="150"/>
      <c r="B43" s="150"/>
      <c r="C43" s="150"/>
      <c r="D43" s="150"/>
      <c r="E43" s="150"/>
    </row>
    <row r="44" spans="1:7">
      <c r="A44" s="153"/>
      <c r="B44" s="154"/>
      <c r="C44" s="154"/>
      <c r="D44" s="150"/>
      <c r="E44" s="150"/>
      <c r="F44" s="286"/>
      <c r="G44" s="286"/>
    </row>
    <row r="45" spans="1:7">
      <c r="A45" s="287"/>
      <c r="B45" s="287"/>
      <c r="C45" s="155"/>
      <c r="D45" s="150"/>
      <c r="E45" s="150"/>
      <c r="F45" s="156"/>
      <c r="G45" s="150"/>
    </row>
    <row r="46" spans="1:7">
      <c r="D46" s="155"/>
      <c r="E46" s="155"/>
      <c r="F46" s="155"/>
      <c r="G46" s="155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3:G3"/>
    <mergeCell ref="A34:B34"/>
    <mergeCell ref="F44:G44"/>
    <mergeCell ref="A45:B45"/>
  </mergeCells>
  <pageMargins left="0.53" right="0.24" top="0.39370078740157483" bottom="0.39370078740157483" header="0.31496062992125984" footer="0.31496062992125984"/>
  <pageSetup paperSize="9" scale="99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52"/>
  <sheetViews>
    <sheetView topLeftCell="A13" workbookViewId="0">
      <selection activeCell="C17" sqref="C17"/>
    </sheetView>
  </sheetViews>
  <sheetFormatPr defaultColWidth="9.140625" defaultRowHeight="15.75"/>
  <cols>
    <col min="1" max="1" width="8.28515625" style="125" customWidth="1"/>
    <col min="2" max="2" width="11.7109375" style="125" customWidth="1"/>
    <col min="3" max="3" width="13.7109375" style="125" customWidth="1"/>
    <col min="4" max="4" width="14.140625" style="125" customWidth="1"/>
    <col min="5" max="5" width="17.140625" style="125" customWidth="1"/>
    <col min="6" max="6" width="17" style="125" customWidth="1"/>
    <col min="7" max="7" width="14" style="125" customWidth="1"/>
    <col min="8" max="16384" width="9.140625" style="125"/>
  </cols>
  <sheetData>
    <row r="1" spans="1:7">
      <c r="E1" s="126"/>
    </row>
    <row r="3" spans="1:7">
      <c r="A3" s="288" t="s">
        <v>32</v>
      </c>
      <c r="B3" s="288"/>
      <c r="C3" s="288"/>
      <c r="D3" s="288"/>
      <c r="E3" s="288"/>
      <c r="F3" s="288"/>
      <c r="G3" s="288"/>
    </row>
    <row r="5" spans="1:7">
      <c r="A5" s="126"/>
      <c r="B5" s="126"/>
      <c r="F5" s="127"/>
    </row>
    <row r="7" spans="1:7">
      <c r="A7" s="128" t="s">
        <v>190</v>
      </c>
      <c r="B7" s="128"/>
      <c r="C7" s="128"/>
      <c r="D7" s="128"/>
      <c r="E7" s="129">
        <f>'24 мес'!F5</f>
        <v>1000</v>
      </c>
      <c r="G7" s="128"/>
    </row>
    <row r="8" spans="1:7">
      <c r="A8" s="128" t="s">
        <v>184</v>
      </c>
      <c r="B8" s="128"/>
      <c r="C8" s="128"/>
      <c r="D8" s="128"/>
      <c r="E8" s="130">
        <f>E7*20/120</f>
        <v>166.66666666666666</v>
      </c>
      <c r="G8" s="131"/>
    </row>
    <row r="9" spans="1:7">
      <c r="A9" s="128" t="s">
        <v>70</v>
      </c>
      <c r="B9" s="128"/>
      <c r="C9" s="128"/>
      <c r="D9" s="128"/>
      <c r="E9" s="132">
        <f>'24 мес'!F6</f>
        <v>0</v>
      </c>
      <c r="G9" s="131"/>
    </row>
    <row r="10" spans="1:7">
      <c r="A10" s="128" t="s">
        <v>183</v>
      </c>
      <c r="B10" s="128"/>
      <c r="C10" s="128"/>
      <c r="D10" s="128"/>
      <c r="E10" s="133">
        <f>'24 мес'!G6</f>
        <v>0</v>
      </c>
      <c r="G10" s="128"/>
    </row>
    <row r="11" spans="1:7">
      <c r="A11" s="128" t="s">
        <v>35</v>
      </c>
      <c r="B11" s="128"/>
      <c r="C11" s="128"/>
      <c r="D11" s="128"/>
      <c r="E11" s="134">
        <f>'24 мес'!F7</f>
        <v>24</v>
      </c>
      <c r="G11" s="128"/>
    </row>
    <row r="12" spans="1:7">
      <c r="A12" s="128" t="s">
        <v>82</v>
      </c>
      <c r="B12" s="128"/>
      <c r="C12" s="128"/>
      <c r="D12" s="128"/>
      <c r="E12" s="134" t="s">
        <v>201</v>
      </c>
      <c r="G12" s="128"/>
    </row>
    <row r="13" spans="1:7">
      <c r="A13" s="135"/>
      <c r="B13" s="135"/>
      <c r="C13" s="135"/>
      <c r="D13" s="135"/>
      <c r="E13" s="134"/>
      <c r="F13" s="134"/>
      <c r="G13" s="134"/>
    </row>
    <row r="14" spans="1:7" ht="85.5">
      <c r="A14" s="136" t="s">
        <v>185</v>
      </c>
      <c r="B14" s="137" t="s">
        <v>205</v>
      </c>
      <c r="C14" s="138" t="s">
        <v>206</v>
      </c>
      <c r="D14" s="138" t="s">
        <v>109</v>
      </c>
      <c r="E14" s="138" t="s">
        <v>104</v>
      </c>
      <c r="F14" s="138" t="s">
        <v>186</v>
      </c>
      <c r="G14" s="137" t="s">
        <v>108</v>
      </c>
    </row>
    <row r="15" spans="1:7">
      <c r="A15" s="139" t="s">
        <v>121</v>
      </c>
      <c r="B15" s="140" t="s">
        <v>114</v>
      </c>
      <c r="C15" s="129">
        <f>E10</f>
        <v>0</v>
      </c>
      <c r="D15" s="141">
        <f>C15*20/120</f>
        <v>0</v>
      </c>
      <c r="E15" s="129"/>
      <c r="F15" s="141"/>
      <c r="G15" s="142"/>
    </row>
    <row r="16" spans="1:7">
      <c r="A16" s="134">
        <v>1</v>
      </c>
      <c r="B16" s="143">
        <f>EOMONTH(B15,0)+DAY(B15)</f>
        <v>43409</v>
      </c>
      <c r="C16" s="129">
        <f>'24 мес'!C21</f>
        <v>41.666666666666664</v>
      </c>
      <c r="D16" s="141">
        <f>'24 мес'!I21</f>
        <v>6.9444444444444438</v>
      </c>
      <c r="E16" s="129">
        <f>'24 мес'!D21</f>
        <v>40.833333333333336</v>
      </c>
      <c r="F16" s="141">
        <f>'18 мес'!E21</f>
        <v>0</v>
      </c>
      <c r="G16" s="142">
        <f>'24 мес'!H21</f>
        <v>82.5</v>
      </c>
    </row>
    <row r="17" spans="1:7">
      <c r="A17" s="134">
        <v>2</v>
      </c>
      <c r="B17" s="143">
        <f t="shared" ref="B17:B39" si="0">EOMONTH(B16,0)+DAY(B16)</f>
        <v>43439</v>
      </c>
      <c r="C17" s="129">
        <f>'24 мес'!C22</f>
        <v>41.666666666666664</v>
      </c>
      <c r="D17" s="141">
        <f>'24 мес'!I22</f>
        <v>6.9444444444444438</v>
      </c>
      <c r="E17" s="129">
        <f>'24 мес'!D22</f>
        <v>39.13194444444445</v>
      </c>
      <c r="F17" s="141">
        <f>'18 мес'!E22</f>
        <v>0</v>
      </c>
      <c r="G17" s="142">
        <f>'24 мес'!H22</f>
        <v>80.798611111111114</v>
      </c>
    </row>
    <row r="18" spans="1:7">
      <c r="A18" s="134">
        <v>3</v>
      </c>
      <c r="B18" s="143">
        <f t="shared" si="0"/>
        <v>43470</v>
      </c>
      <c r="C18" s="129">
        <f>'24 мес'!C23</f>
        <v>41.666666666666664</v>
      </c>
      <c r="D18" s="141">
        <f>'24 мес'!I23</f>
        <v>6.9444444444444438</v>
      </c>
      <c r="E18" s="129">
        <f>'24 мес'!D23</f>
        <v>37.430555555555557</v>
      </c>
      <c r="F18" s="141">
        <f>'18 мес'!E23</f>
        <v>0</v>
      </c>
      <c r="G18" s="142">
        <f>'24 мес'!H23</f>
        <v>79.097222222222229</v>
      </c>
    </row>
    <row r="19" spans="1:7">
      <c r="A19" s="134">
        <v>4</v>
      </c>
      <c r="B19" s="143">
        <f t="shared" si="0"/>
        <v>43501</v>
      </c>
      <c r="C19" s="129">
        <f>'24 мес'!C24</f>
        <v>41.666666666666664</v>
      </c>
      <c r="D19" s="141">
        <f>'24 мес'!I24</f>
        <v>6.9444444444444438</v>
      </c>
      <c r="E19" s="129">
        <f>'24 мес'!D24</f>
        <v>35.729166666666671</v>
      </c>
      <c r="F19" s="141">
        <f>'18 мес'!E24</f>
        <v>0</v>
      </c>
      <c r="G19" s="142">
        <f>'24 мес'!H24</f>
        <v>77.395833333333343</v>
      </c>
    </row>
    <row r="20" spans="1:7">
      <c r="A20" s="134">
        <v>5</v>
      </c>
      <c r="B20" s="143">
        <f t="shared" si="0"/>
        <v>43529</v>
      </c>
      <c r="C20" s="129">
        <f>'24 мес'!C25</f>
        <v>41.666666666666664</v>
      </c>
      <c r="D20" s="141">
        <f>'24 мес'!I25</f>
        <v>6.9444444444444438</v>
      </c>
      <c r="E20" s="129">
        <f>'24 мес'!D25</f>
        <v>34.027777777777786</v>
      </c>
      <c r="F20" s="141">
        <f>'18 мес'!E25</f>
        <v>0</v>
      </c>
      <c r="G20" s="142">
        <f>'24 мес'!H25</f>
        <v>75.694444444444457</v>
      </c>
    </row>
    <row r="21" spans="1:7">
      <c r="A21" s="134">
        <v>6</v>
      </c>
      <c r="B21" s="143">
        <f t="shared" si="0"/>
        <v>43560</v>
      </c>
      <c r="C21" s="129">
        <f>'24 мес'!C26</f>
        <v>41.666666666666664</v>
      </c>
      <c r="D21" s="141">
        <f>'24 мес'!I26</f>
        <v>6.9444444444444438</v>
      </c>
      <c r="E21" s="129">
        <f>'24 мес'!D26</f>
        <v>32.326388888888893</v>
      </c>
      <c r="F21" s="141">
        <f>'18 мес'!E26</f>
        <v>0</v>
      </c>
      <c r="G21" s="142">
        <f>'24 мес'!H26</f>
        <v>73.993055555555557</v>
      </c>
    </row>
    <row r="22" spans="1:7">
      <c r="A22" s="134">
        <v>7</v>
      </c>
      <c r="B22" s="143">
        <f t="shared" si="0"/>
        <v>43590</v>
      </c>
      <c r="C22" s="129">
        <f>'24 мес'!C27</f>
        <v>41.666666666666664</v>
      </c>
      <c r="D22" s="141">
        <f>'24 мес'!I27</f>
        <v>6.9444444444444438</v>
      </c>
      <c r="E22" s="129">
        <f>'24 мес'!D27</f>
        <v>30.625000000000011</v>
      </c>
      <c r="F22" s="141">
        <f>'18 мес'!E27</f>
        <v>0</v>
      </c>
      <c r="G22" s="142">
        <f>'24 мес'!H27</f>
        <v>72.291666666666671</v>
      </c>
    </row>
    <row r="23" spans="1:7">
      <c r="A23" s="134">
        <v>8</v>
      </c>
      <c r="B23" s="143">
        <f t="shared" si="0"/>
        <v>43621</v>
      </c>
      <c r="C23" s="129">
        <f>'24 мес'!C28</f>
        <v>41.666666666666664</v>
      </c>
      <c r="D23" s="141">
        <f>'24 мес'!I28</f>
        <v>6.9444444444444438</v>
      </c>
      <c r="E23" s="129">
        <f>'24 мес'!D28</f>
        <v>28.923611111111125</v>
      </c>
      <c r="F23" s="141">
        <f>'18 мес'!E28</f>
        <v>0</v>
      </c>
      <c r="G23" s="142">
        <f>'24 мес'!H28</f>
        <v>70.590277777777786</v>
      </c>
    </row>
    <row r="24" spans="1:7">
      <c r="A24" s="134">
        <v>9</v>
      </c>
      <c r="B24" s="143">
        <f t="shared" si="0"/>
        <v>43651</v>
      </c>
      <c r="C24" s="129">
        <f>'24 мес'!C29</f>
        <v>41.666666666666664</v>
      </c>
      <c r="D24" s="141">
        <f>'24 мес'!I29</f>
        <v>6.9444444444444438</v>
      </c>
      <c r="E24" s="129">
        <f>'24 мес'!D29</f>
        <v>27.222222222222232</v>
      </c>
      <c r="F24" s="141">
        <f>'18 мес'!E29</f>
        <v>0</v>
      </c>
      <c r="G24" s="142">
        <f>'24 мес'!H29</f>
        <v>68.8888888888889</v>
      </c>
    </row>
    <row r="25" spans="1:7">
      <c r="A25" s="134">
        <v>10</v>
      </c>
      <c r="B25" s="143">
        <f t="shared" si="0"/>
        <v>43682</v>
      </c>
      <c r="C25" s="129">
        <f>'24 мес'!C30</f>
        <v>41.666666666666664</v>
      </c>
      <c r="D25" s="141">
        <f>'24 мес'!I30</f>
        <v>6.9444444444444438</v>
      </c>
      <c r="E25" s="129">
        <f>'24 мес'!D30</f>
        <v>25.520833333333346</v>
      </c>
      <c r="F25" s="141">
        <f>'18 мес'!E30</f>
        <v>0</v>
      </c>
      <c r="G25" s="142">
        <f>'24 мес'!H30</f>
        <v>67.187500000000014</v>
      </c>
    </row>
    <row r="26" spans="1:7">
      <c r="A26" s="134">
        <v>11</v>
      </c>
      <c r="B26" s="143">
        <f t="shared" si="0"/>
        <v>43713</v>
      </c>
      <c r="C26" s="129">
        <f>'24 мес'!C31</f>
        <v>41.666666666666664</v>
      </c>
      <c r="D26" s="141">
        <f>'24 мес'!I31</f>
        <v>6.9444444444444438</v>
      </c>
      <c r="E26" s="129">
        <f>'24 мес'!D31</f>
        <v>23.819444444444461</v>
      </c>
      <c r="F26" s="141">
        <f>'18 мес'!E31</f>
        <v>0</v>
      </c>
      <c r="G26" s="142">
        <f>'24 мес'!H31</f>
        <v>65.486111111111128</v>
      </c>
    </row>
    <row r="27" spans="1:7">
      <c r="A27" s="134">
        <v>12</v>
      </c>
      <c r="B27" s="143">
        <f t="shared" si="0"/>
        <v>43743</v>
      </c>
      <c r="C27" s="129">
        <f>'24 мес'!C32</f>
        <v>41.666666666666664</v>
      </c>
      <c r="D27" s="141">
        <f>'24 мес'!I32</f>
        <v>6.9444444444444438</v>
      </c>
      <c r="E27" s="129">
        <f>'24 мес'!D32</f>
        <v>22.118055555555571</v>
      </c>
      <c r="F27" s="141">
        <f>'18 мес'!E32</f>
        <v>0</v>
      </c>
      <c r="G27" s="142">
        <f>'24 мес'!H32</f>
        <v>63.784722222222236</v>
      </c>
    </row>
    <row r="28" spans="1:7">
      <c r="A28" s="134">
        <v>13</v>
      </c>
      <c r="B28" s="143">
        <f t="shared" si="0"/>
        <v>43774</v>
      </c>
      <c r="C28" s="129">
        <f>'24 мес'!C33</f>
        <v>41.666666666666664</v>
      </c>
      <c r="D28" s="141">
        <f>'24 мес'!I33</f>
        <v>6.9444444444444438</v>
      </c>
      <c r="E28" s="129">
        <f>'24 мес'!D33</f>
        <v>20.416666666666682</v>
      </c>
      <c r="F28" s="141">
        <f>'18 мес'!E33</f>
        <v>0</v>
      </c>
      <c r="G28" s="142">
        <f>'24 мес'!H33</f>
        <v>62.083333333333343</v>
      </c>
    </row>
    <row r="29" spans="1:7">
      <c r="A29" s="134">
        <v>14</v>
      </c>
      <c r="B29" s="143">
        <f t="shared" si="0"/>
        <v>43804</v>
      </c>
      <c r="C29" s="129">
        <f>'24 мес'!C34</f>
        <v>41.666666666666664</v>
      </c>
      <c r="D29" s="141">
        <f>'24 мес'!I34</f>
        <v>6.9444444444444438</v>
      </c>
      <c r="E29" s="129">
        <f>'24 мес'!D34</f>
        <v>18.715277777777793</v>
      </c>
      <c r="F29" s="141">
        <f>'18 мес'!E34</f>
        <v>0</v>
      </c>
      <c r="G29" s="142">
        <f>'24 мес'!H34</f>
        <v>60.381944444444457</v>
      </c>
    </row>
    <row r="30" spans="1:7">
      <c r="A30" s="134">
        <v>15</v>
      </c>
      <c r="B30" s="143">
        <f t="shared" si="0"/>
        <v>43835</v>
      </c>
      <c r="C30" s="129">
        <f>'24 мес'!C35</f>
        <v>41.666666666666664</v>
      </c>
      <c r="D30" s="141">
        <f>'24 мес'!I35</f>
        <v>6.9444444444444438</v>
      </c>
      <c r="E30" s="129">
        <f>'24 мес'!D35</f>
        <v>17.013888888888903</v>
      </c>
      <c r="F30" s="141">
        <f>'18 мес'!E35</f>
        <v>0</v>
      </c>
      <c r="G30" s="142">
        <f>'24 мес'!H35</f>
        <v>58.680555555555571</v>
      </c>
    </row>
    <row r="31" spans="1:7">
      <c r="A31" s="134">
        <v>16</v>
      </c>
      <c r="B31" s="143">
        <f t="shared" si="0"/>
        <v>43866</v>
      </c>
      <c r="C31" s="129">
        <f>'24 мес'!C36</f>
        <v>41.666666666666664</v>
      </c>
      <c r="D31" s="141">
        <f>'24 мес'!I36</f>
        <v>6.9444444444444438</v>
      </c>
      <c r="E31" s="129">
        <f>'24 мес'!D36</f>
        <v>15.312500000000014</v>
      </c>
      <c r="F31" s="141">
        <f>'18 мес'!E36</f>
        <v>0</v>
      </c>
      <c r="G31" s="142">
        <f>'24 мес'!H36</f>
        <v>56.979166666666679</v>
      </c>
    </row>
    <row r="32" spans="1:7">
      <c r="A32" s="134">
        <v>17</v>
      </c>
      <c r="B32" s="143">
        <f t="shared" si="0"/>
        <v>43895</v>
      </c>
      <c r="C32" s="129">
        <f>'24 мес'!C37</f>
        <v>41.666666666666664</v>
      </c>
      <c r="D32" s="141">
        <f>'24 мес'!I37</f>
        <v>6.9444444444444438</v>
      </c>
      <c r="E32" s="129">
        <f>'24 мес'!D37</f>
        <v>13.611111111111123</v>
      </c>
      <c r="F32" s="141">
        <f>'18 мес'!E37</f>
        <v>0</v>
      </c>
      <c r="G32" s="142">
        <f>'24 мес'!H37</f>
        <v>55.277777777777786</v>
      </c>
    </row>
    <row r="33" spans="1:7">
      <c r="A33" s="134">
        <v>18</v>
      </c>
      <c r="B33" s="143">
        <f t="shared" si="0"/>
        <v>43926</v>
      </c>
      <c r="C33" s="129">
        <f>'24 мес'!C38</f>
        <v>41.666666666666664</v>
      </c>
      <c r="D33" s="141">
        <f>'24 мес'!I38</f>
        <v>6.9444444444444438</v>
      </c>
      <c r="E33" s="129">
        <f>'24 мес'!D38</f>
        <v>11.909722222222234</v>
      </c>
      <c r="F33" s="141">
        <f>'18 мес'!E38</f>
        <v>0</v>
      </c>
      <c r="G33" s="142">
        <f>'24 мес'!H38</f>
        <v>53.5763888888889</v>
      </c>
    </row>
    <row r="34" spans="1:7">
      <c r="A34" s="134">
        <v>19</v>
      </c>
      <c r="B34" s="143">
        <f t="shared" si="0"/>
        <v>43956</v>
      </c>
      <c r="C34" s="129">
        <f>'24 мес'!C39</f>
        <v>41.666666666666664</v>
      </c>
      <c r="D34" s="141">
        <f>'24 мес'!I39</f>
        <v>6.9444444444444438</v>
      </c>
      <c r="E34" s="129">
        <f>'24 мес'!D39</f>
        <v>10.208333333333346</v>
      </c>
      <c r="F34" s="141">
        <f>'18 мес'!E39</f>
        <v>0</v>
      </c>
      <c r="G34" s="142">
        <f>'24 мес'!H39</f>
        <v>51.875000000000014</v>
      </c>
    </row>
    <row r="35" spans="1:7">
      <c r="A35" s="134">
        <v>20</v>
      </c>
      <c r="B35" s="143">
        <f t="shared" si="0"/>
        <v>43987</v>
      </c>
      <c r="C35" s="129">
        <f>'24 мес'!C40</f>
        <v>41.666666666666664</v>
      </c>
      <c r="D35" s="141">
        <f>'24 мес'!I40</f>
        <v>6.9444444444444438</v>
      </c>
      <c r="E35" s="129">
        <f>'24 мес'!D40</f>
        <v>8.5069444444444571</v>
      </c>
      <c r="F35" s="141">
        <f>'18 мес'!E40</f>
        <v>0</v>
      </c>
      <c r="G35" s="142">
        <f>'24 мес'!H40</f>
        <v>50.173611111111121</v>
      </c>
    </row>
    <row r="36" spans="1:7">
      <c r="A36" s="134">
        <v>21</v>
      </c>
      <c r="B36" s="143">
        <f t="shared" si="0"/>
        <v>44017</v>
      </c>
      <c r="C36" s="129">
        <f>'24 мес'!C41</f>
        <v>41.666666666666664</v>
      </c>
      <c r="D36" s="141">
        <f>'24 мес'!I41</f>
        <v>6.9444444444444438</v>
      </c>
      <c r="E36" s="129">
        <f>'24 мес'!D41</f>
        <v>6.8055555555555687</v>
      </c>
      <c r="F36" s="141">
        <f>'18 мес'!E41</f>
        <v>0</v>
      </c>
      <c r="G36" s="142">
        <f>'24 мес'!H41</f>
        <v>48.472222222222236</v>
      </c>
    </row>
    <row r="37" spans="1:7">
      <c r="A37" s="134">
        <v>22</v>
      </c>
      <c r="B37" s="143">
        <f t="shared" si="0"/>
        <v>44048</v>
      </c>
      <c r="C37" s="129">
        <f>'24 мес'!C42</f>
        <v>41.666666666666664</v>
      </c>
      <c r="D37" s="141">
        <f>'24 мес'!I42</f>
        <v>6.9444444444444438</v>
      </c>
      <c r="E37" s="129">
        <f>'24 мес'!D42</f>
        <v>5.1041666666666803</v>
      </c>
      <c r="F37" s="141">
        <f>'18 мес'!E42</f>
        <v>0</v>
      </c>
      <c r="G37" s="142">
        <f>'24 мес'!H42</f>
        <v>46.770833333333343</v>
      </c>
    </row>
    <row r="38" spans="1:7">
      <c r="A38" s="134">
        <v>23</v>
      </c>
      <c r="B38" s="143">
        <f t="shared" si="0"/>
        <v>44079</v>
      </c>
      <c r="C38" s="129">
        <f>'24 мес'!C43</f>
        <v>41.666666666666664</v>
      </c>
      <c r="D38" s="141">
        <f>'24 мес'!I43</f>
        <v>6.9444444444444438</v>
      </c>
      <c r="E38" s="129">
        <f>'24 мес'!D43</f>
        <v>3.4027777777777923</v>
      </c>
      <c r="F38" s="141">
        <f>'18 мес'!E43</f>
        <v>0</v>
      </c>
      <c r="G38" s="142">
        <f>'24 мес'!H43</f>
        <v>45.069444444444457</v>
      </c>
    </row>
    <row r="39" spans="1:7">
      <c r="A39" s="134">
        <v>24</v>
      </c>
      <c r="B39" s="143">
        <f t="shared" si="0"/>
        <v>44109</v>
      </c>
      <c r="C39" s="129">
        <f>'24 мес'!C44</f>
        <v>41.666666666666664</v>
      </c>
      <c r="D39" s="141">
        <f>'24 мес'!I44</f>
        <v>6.9444444444444438</v>
      </c>
      <c r="E39" s="129">
        <f>'24 мес'!D44</f>
        <v>1.7013888888889033</v>
      </c>
      <c r="F39" s="141">
        <f>'18 мес'!E44</f>
        <v>0</v>
      </c>
      <c r="G39" s="142">
        <f>'24 мес'!H44</f>
        <v>43.368055555555564</v>
      </c>
    </row>
    <row r="40" spans="1:7">
      <c r="A40" s="284" t="s">
        <v>1</v>
      </c>
      <c r="B40" s="285"/>
      <c r="C40" s="144">
        <f>SUM(C15:C39)</f>
        <v>999.99999999999966</v>
      </c>
      <c r="D40" s="144">
        <f>SUM(D15:D39)</f>
        <v>166.66666666666671</v>
      </c>
      <c r="E40" s="144"/>
      <c r="F40" s="145"/>
      <c r="G40" s="146"/>
    </row>
    <row r="41" spans="1:7">
      <c r="A41" s="147" t="s">
        <v>187</v>
      </c>
      <c r="B41" s="147"/>
      <c r="C41" s="147"/>
      <c r="D41" s="147"/>
      <c r="E41" s="147"/>
      <c r="F41" s="147"/>
      <c r="G41" s="147"/>
    </row>
    <row r="42" spans="1:7" ht="7.5" customHeight="1">
      <c r="A42" s="148"/>
      <c r="B42" s="148"/>
      <c r="C42" s="148"/>
      <c r="D42" s="148"/>
      <c r="E42" s="148"/>
      <c r="F42" s="148"/>
      <c r="G42" s="148"/>
    </row>
    <row r="43" spans="1:7" ht="15.75" customHeight="1">
      <c r="A43" s="149"/>
      <c r="B43" s="149"/>
      <c r="C43" s="149"/>
      <c r="D43" s="149"/>
      <c r="E43" s="149"/>
      <c r="F43" s="149"/>
      <c r="G43" s="149"/>
    </row>
    <row r="44" spans="1:7" ht="15.75" customHeight="1">
      <c r="A44" s="149"/>
      <c r="B44" s="149"/>
      <c r="C44" s="149"/>
      <c r="D44" s="149"/>
      <c r="E44" s="149"/>
      <c r="F44" s="149"/>
      <c r="G44" s="149"/>
    </row>
    <row r="45" spans="1:7" ht="11.25" customHeight="1">
      <c r="A45" s="149"/>
      <c r="B45" s="149"/>
      <c r="C45" s="149"/>
      <c r="D45" s="149"/>
      <c r="E45" s="149"/>
      <c r="F45" s="149"/>
      <c r="G45" s="149"/>
    </row>
    <row r="46" spans="1:7">
      <c r="A46" s="150"/>
      <c r="B46" s="150"/>
      <c r="C46" s="150"/>
      <c r="D46" s="150"/>
      <c r="E46" s="150"/>
      <c r="F46" s="150"/>
      <c r="G46" s="150"/>
    </row>
    <row r="47" spans="1:7">
      <c r="A47" s="151"/>
      <c r="B47" s="150"/>
      <c r="C47" s="150"/>
      <c r="D47" s="150"/>
      <c r="E47" s="150"/>
      <c r="F47" s="126"/>
      <c r="G47" s="150"/>
    </row>
    <row r="48" spans="1:7">
      <c r="A48" s="152"/>
      <c r="B48" s="152"/>
      <c r="C48" s="152"/>
      <c r="D48" s="150"/>
      <c r="E48" s="150"/>
      <c r="F48" s="150"/>
      <c r="G48" s="150"/>
    </row>
    <row r="49" spans="1:7">
      <c r="A49" s="150"/>
      <c r="B49" s="150"/>
      <c r="C49" s="150"/>
      <c r="D49" s="150"/>
      <c r="E49" s="150"/>
    </row>
    <row r="50" spans="1:7">
      <c r="A50" s="153"/>
      <c r="B50" s="154"/>
      <c r="C50" s="154"/>
      <c r="D50" s="150"/>
      <c r="E50" s="150"/>
      <c r="F50" s="286"/>
      <c r="G50" s="286"/>
    </row>
    <row r="51" spans="1:7">
      <c r="A51" s="287"/>
      <c r="B51" s="287"/>
      <c r="C51" s="155"/>
      <c r="D51" s="150"/>
      <c r="E51" s="150"/>
      <c r="F51" s="156"/>
      <c r="G51" s="150"/>
    </row>
    <row r="52" spans="1:7">
      <c r="D52" s="155"/>
      <c r="E52" s="155"/>
      <c r="F52" s="155"/>
      <c r="G52" s="155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3:G3"/>
    <mergeCell ref="A40:B40"/>
    <mergeCell ref="F50:G50"/>
    <mergeCell ref="A51:B51"/>
  </mergeCells>
  <pageMargins left="0.7" right="0.35433070866141736" top="0.39370078740157483" bottom="0.39370078740157483" header="0.31496062992125984" footer="0.31496062992125984"/>
  <pageSetup paperSize="9" scale="9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52"/>
  <sheetViews>
    <sheetView workbookViewId="0">
      <selection activeCell="C17" sqref="C17"/>
    </sheetView>
  </sheetViews>
  <sheetFormatPr defaultColWidth="9.140625" defaultRowHeight="15.75"/>
  <cols>
    <col min="1" max="1" width="8.85546875" style="125" customWidth="1"/>
    <col min="2" max="2" width="12.140625" style="125" customWidth="1"/>
    <col min="3" max="3" width="13.85546875" style="125" customWidth="1"/>
    <col min="4" max="4" width="14.28515625" style="125" customWidth="1"/>
    <col min="5" max="6" width="17.42578125" style="125" customWidth="1"/>
    <col min="7" max="7" width="13.7109375" style="125" customWidth="1"/>
    <col min="8" max="16384" width="9.140625" style="125"/>
  </cols>
  <sheetData>
    <row r="1" spans="1:7">
      <c r="E1" s="126"/>
    </row>
    <row r="3" spans="1:7">
      <c r="A3" s="288" t="s">
        <v>32</v>
      </c>
      <c r="B3" s="288"/>
      <c r="C3" s="288"/>
      <c r="D3" s="288"/>
      <c r="E3" s="288"/>
      <c r="F3" s="288"/>
      <c r="G3" s="288"/>
    </row>
    <row r="5" spans="1:7">
      <c r="A5" s="126"/>
      <c r="B5" s="126"/>
      <c r="F5" s="127"/>
    </row>
    <row r="7" spans="1:7">
      <c r="A7" s="128" t="s">
        <v>190</v>
      </c>
      <c r="B7" s="128"/>
      <c r="C7" s="128"/>
      <c r="D7" s="128"/>
      <c r="E7" s="129">
        <f>'24 мес (аннуитет)'!F5</f>
        <v>1000</v>
      </c>
      <c r="G7" s="128"/>
    </row>
    <row r="8" spans="1:7">
      <c r="A8" s="128" t="s">
        <v>184</v>
      </c>
      <c r="B8" s="128"/>
      <c r="C8" s="128"/>
      <c r="D8" s="128"/>
      <c r="E8" s="130">
        <f>E7*20/120</f>
        <v>166.66666666666666</v>
      </c>
      <c r="G8" s="131"/>
    </row>
    <row r="9" spans="1:7">
      <c r="A9" s="128" t="s">
        <v>70</v>
      </c>
      <c r="B9" s="128"/>
      <c r="C9" s="128"/>
      <c r="D9" s="128"/>
      <c r="E9" s="132">
        <f>'24 мес (аннуитет)'!F6</f>
        <v>0</v>
      </c>
      <c r="G9" s="131"/>
    </row>
    <row r="10" spans="1:7">
      <c r="A10" s="128" t="s">
        <v>183</v>
      </c>
      <c r="B10" s="128"/>
      <c r="C10" s="128"/>
      <c r="D10" s="128"/>
      <c r="E10" s="133">
        <f>'24 мес (аннуитет)'!G6</f>
        <v>0</v>
      </c>
      <c r="G10" s="128"/>
    </row>
    <row r="11" spans="1:7">
      <c r="A11" s="128" t="s">
        <v>35</v>
      </c>
      <c r="B11" s="128"/>
      <c r="C11" s="128"/>
      <c r="D11" s="128"/>
      <c r="E11" s="134">
        <f>'24 мес (аннуитет)'!F7</f>
        <v>24</v>
      </c>
      <c r="G11" s="128"/>
    </row>
    <row r="12" spans="1:7">
      <c r="A12" s="128" t="s">
        <v>82</v>
      </c>
      <c r="B12" s="128"/>
      <c r="C12" s="128"/>
      <c r="D12" s="128"/>
      <c r="E12" s="134" t="s">
        <v>202</v>
      </c>
      <c r="G12" s="128"/>
    </row>
    <row r="13" spans="1:7">
      <c r="A13" s="135"/>
      <c r="B13" s="135"/>
      <c r="C13" s="135"/>
      <c r="D13" s="135"/>
      <c r="E13" s="134"/>
      <c r="F13" s="134"/>
      <c r="G13" s="134"/>
    </row>
    <row r="14" spans="1:7" ht="71.25">
      <c r="A14" s="136" t="s">
        <v>185</v>
      </c>
      <c r="B14" s="137" t="s">
        <v>205</v>
      </c>
      <c r="C14" s="138" t="s">
        <v>206</v>
      </c>
      <c r="D14" s="138" t="s">
        <v>109</v>
      </c>
      <c r="E14" s="138" t="s">
        <v>104</v>
      </c>
      <c r="F14" s="138" t="s">
        <v>186</v>
      </c>
      <c r="G14" s="137" t="s">
        <v>108</v>
      </c>
    </row>
    <row r="15" spans="1:7">
      <c r="A15" s="139" t="s">
        <v>121</v>
      </c>
      <c r="B15" s="140" t="s">
        <v>114</v>
      </c>
      <c r="C15" s="129">
        <f>E10</f>
        <v>0</v>
      </c>
      <c r="D15" s="141">
        <f>C15*20/120</f>
        <v>0</v>
      </c>
      <c r="E15" s="129"/>
      <c r="F15" s="141"/>
      <c r="G15" s="142"/>
    </row>
    <row r="16" spans="1:7">
      <c r="A16" s="134">
        <v>1</v>
      </c>
      <c r="B16" s="143">
        <f>EOMONTH(B15,0)+DAY(B15)</f>
        <v>43409</v>
      </c>
      <c r="C16" s="129">
        <f>'24 мес (аннуитет)'!C21</f>
        <v>25.314278463171654</v>
      </c>
      <c r="D16" s="141">
        <f>'24 мес (аннуитет)'!I21</f>
        <v>4.219046410528609</v>
      </c>
      <c r="E16" s="129">
        <f>'24 мес (аннуитет)'!D21</f>
        <v>40.833333333333336</v>
      </c>
      <c r="F16" s="141">
        <f>'24 мес (аннуитет)'!E21</f>
        <v>0</v>
      </c>
      <c r="G16" s="142">
        <f>'24 мес (аннуитет)'!H21</f>
        <v>66.147611796504989</v>
      </c>
    </row>
    <row r="17" spans="1:7">
      <c r="A17" s="134">
        <v>2</v>
      </c>
      <c r="B17" s="143">
        <f t="shared" ref="B17:B39" si="0">EOMONTH(B16,0)+DAY(B16)</f>
        <v>43439</v>
      </c>
      <c r="C17" s="129">
        <f>'24 мес (аннуитет)'!C22</f>
        <v>26.347944833751164</v>
      </c>
      <c r="D17" s="141">
        <f>'24 мес (аннуитет)'!I22</f>
        <v>4.3913241389585274</v>
      </c>
      <c r="E17" s="129">
        <f>'24 мес (аннуитет)'!D22</f>
        <v>39.799666962753825</v>
      </c>
      <c r="F17" s="141">
        <f>'24 мес (аннуитет)'!E22</f>
        <v>0</v>
      </c>
      <c r="G17" s="142">
        <f>'24 мес (аннуитет)'!H22</f>
        <v>66.147611796504989</v>
      </c>
    </row>
    <row r="18" spans="1:7">
      <c r="A18" s="134">
        <v>3</v>
      </c>
      <c r="B18" s="143">
        <f t="shared" si="0"/>
        <v>43470</v>
      </c>
      <c r="C18" s="129">
        <f>'24 мес (аннуитет)'!C23</f>
        <v>27.423819247796004</v>
      </c>
      <c r="D18" s="141">
        <f>'24 мес (аннуитет)'!I23</f>
        <v>4.5706365412993346</v>
      </c>
      <c r="E18" s="129">
        <f>'24 мес (аннуитет)'!D23</f>
        <v>38.723792548708985</v>
      </c>
      <c r="F18" s="141">
        <f>'24 мес (аннуитет)'!E23</f>
        <v>0</v>
      </c>
      <c r="G18" s="142">
        <f>'24 мес (аннуитет)'!H23</f>
        <v>66.147611796504989</v>
      </c>
    </row>
    <row r="19" spans="1:7">
      <c r="A19" s="134">
        <v>4</v>
      </c>
      <c r="B19" s="143">
        <f t="shared" si="0"/>
        <v>43501</v>
      </c>
      <c r="C19" s="129">
        <f>'24 мес (аннуитет)'!C24</f>
        <v>28.54362520041434</v>
      </c>
      <c r="D19" s="141">
        <f>'24 мес (аннуитет)'!I24</f>
        <v>4.7572708667357233</v>
      </c>
      <c r="E19" s="129">
        <f>'24 мес (аннуитет)'!D24</f>
        <v>37.60398659609065</v>
      </c>
      <c r="F19" s="141">
        <f>'24 мес (аннуитет)'!E24</f>
        <v>0</v>
      </c>
      <c r="G19" s="142">
        <f>'24 мес (аннуитет)'!H24</f>
        <v>66.147611796504989</v>
      </c>
    </row>
    <row r="20" spans="1:7">
      <c r="A20" s="134">
        <v>5</v>
      </c>
      <c r="B20" s="143">
        <f t="shared" si="0"/>
        <v>43529</v>
      </c>
      <c r="C20" s="129">
        <f>'24 мес (аннуитет)'!C25</f>
        <v>29.709156562764598</v>
      </c>
      <c r="D20" s="141">
        <f>'24 мес (аннуитет)'!I25</f>
        <v>4.9515260937940999</v>
      </c>
      <c r="E20" s="129">
        <f>'24 мес (аннуитет)'!D25</f>
        <v>36.438455233740392</v>
      </c>
      <c r="F20" s="141">
        <f>'24 мес (аннуитет)'!E25</f>
        <v>0</v>
      </c>
      <c r="G20" s="142">
        <f>'24 мес (аннуитет)'!H25</f>
        <v>66.147611796504989</v>
      </c>
    </row>
    <row r="21" spans="1:7">
      <c r="A21" s="134">
        <v>6</v>
      </c>
      <c r="B21" s="143">
        <f t="shared" si="0"/>
        <v>43560</v>
      </c>
      <c r="C21" s="129">
        <f>'24 мес (аннуитет)'!C26</f>
        <v>30.922280455744151</v>
      </c>
      <c r="D21" s="141">
        <f>'24 мес (аннуитет)'!I26</f>
        <v>5.1537134092906918</v>
      </c>
      <c r="E21" s="129">
        <f>'24 мес (аннуитет)'!D26</f>
        <v>35.225331340760839</v>
      </c>
      <c r="F21" s="141">
        <f>'24 мес (аннуитет)'!E26</f>
        <v>0</v>
      </c>
      <c r="G21" s="142">
        <f>'24 мес (аннуитет)'!H26</f>
        <v>66.147611796504989</v>
      </c>
    </row>
    <row r="22" spans="1:7">
      <c r="A22" s="134">
        <v>7</v>
      </c>
      <c r="B22" s="143">
        <f t="shared" si="0"/>
        <v>43590</v>
      </c>
      <c r="C22" s="129">
        <f>'24 мес (аннуитет)'!C27</f>
        <v>32.184940241020371</v>
      </c>
      <c r="D22" s="141">
        <f>'24 мес (аннуитет)'!I27</f>
        <v>5.3641567068367282</v>
      </c>
      <c r="E22" s="129">
        <f>'24 мес (аннуитет)'!D27</f>
        <v>33.962671555484619</v>
      </c>
      <c r="F22" s="141">
        <f>'24 мес (аннуитет)'!E27</f>
        <v>0</v>
      </c>
      <c r="G22" s="142">
        <f>'24 мес (аннуитет)'!H27</f>
        <v>66.147611796504989</v>
      </c>
    </row>
    <row r="23" spans="1:7">
      <c r="A23" s="134">
        <v>8</v>
      </c>
      <c r="B23" s="143">
        <f t="shared" si="0"/>
        <v>43621</v>
      </c>
      <c r="C23" s="129">
        <f>'24 мес (аннуитет)'!C28</f>
        <v>33.499158634195368</v>
      </c>
      <c r="D23" s="141">
        <f>'24 мес (аннуитет)'!I28</f>
        <v>5.5831931056992277</v>
      </c>
      <c r="E23" s="129">
        <f>'24 мес (аннуитет)'!D28</f>
        <v>32.648453162309622</v>
      </c>
      <c r="F23" s="141">
        <f>'24 мес (аннуитет)'!E28</f>
        <v>0</v>
      </c>
      <c r="G23" s="142">
        <f>'24 мес (аннуитет)'!H28</f>
        <v>66.147611796504989</v>
      </c>
    </row>
    <row r="24" spans="1:7">
      <c r="A24" s="134">
        <v>9</v>
      </c>
      <c r="B24" s="143">
        <f t="shared" si="0"/>
        <v>43651</v>
      </c>
      <c r="C24" s="129">
        <f>'24 мес (аннуитет)'!C29</f>
        <v>34.867040945091674</v>
      </c>
      <c r="D24" s="141">
        <f>'24 мес (аннуитет)'!I29</f>
        <v>5.8111734908486126</v>
      </c>
      <c r="E24" s="129">
        <f>'24 мес (аннуитет)'!D29</f>
        <v>31.280570851413312</v>
      </c>
      <c r="F24" s="141">
        <f>'24 мес (аннуитет)'!E29</f>
        <v>0</v>
      </c>
      <c r="G24" s="142">
        <f>'24 мес (аннуитет)'!H29</f>
        <v>66.147611796504989</v>
      </c>
    </row>
    <row r="25" spans="1:7">
      <c r="A25" s="134">
        <v>10</v>
      </c>
      <c r="B25" s="143">
        <f t="shared" si="0"/>
        <v>43682</v>
      </c>
      <c r="C25" s="129">
        <f>'24 мес (аннуитет)'!C30</f>
        <v>36.290778450349592</v>
      </c>
      <c r="D25" s="141">
        <f>'24 мес (аннуитет)'!I30</f>
        <v>6.0484630750582653</v>
      </c>
      <c r="E25" s="129">
        <f>'24 мес (аннуитет)'!D30</f>
        <v>29.856833346155398</v>
      </c>
      <c r="F25" s="141">
        <f>'24 мес (аннуитет)'!E30</f>
        <v>0</v>
      </c>
      <c r="G25" s="142">
        <f>'24 мес (аннуитет)'!H30</f>
        <v>66.147611796504989</v>
      </c>
    </row>
    <row r="26" spans="1:7">
      <c r="A26" s="134">
        <v>11</v>
      </c>
      <c r="B26" s="143">
        <f t="shared" si="0"/>
        <v>43713</v>
      </c>
      <c r="C26" s="129">
        <f>'24 мес (аннуитет)'!C31</f>
        <v>37.772651903738861</v>
      </c>
      <c r="D26" s="141">
        <f>'24 мес (аннуитет)'!I31</f>
        <v>6.2954419839564766</v>
      </c>
      <c r="E26" s="129">
        <f>'24 мес (аннуитет)'!D31</f>
        <v>28.374959892766125</v>
      </c>
      <c r="F26" s="141">
        <f>'24 мес (аннуитет)'!E31</f>
        <v>0</v>
      </c>
      <c r="G26" s="142">
        <f>'24 мес (аннуитет)'!H31</f>
        <v>66.147611796504989</v>
      </c>
    </row>
    <row r="27" spans="1:7">
      <c r="A27" s="134">
        <v>12</v>
      </c>
      <c r="B27" s="143">
        <f t="shared" si="0"/>
        <v>43743</v>
      </c>
      <c r="C27" s="129">
        <f>'24 мес (аннуитет)'!C32</f>
        <v>39.315035189808199</v>
      </c>
      <c r="D27" s="141">
        <f>'24 мес (аннуитет)'!I32</f>
        <v>6.5525058649680341</v>
      </c>
      <c r="E27" s="129">
        <f>'24 мес (аннуитет)'!D32</f>
        <v>26.83257660669679</v>
      </c>
      <c r="F27" s="141">
        <f>'24 мес (аннуитет)'!E32</f>
        <v>0</v>
      </c>
      <c r="G27" s="142">
        <f>'24 мес (аннуитет)'!H32</f>
        <v>66.147611796504989</v>
      </c>
    </row>
    <row r="28" spans="1:7">
      <c r="A28" s="134">
        <v>13</v>
      </c>
      <c r="B28" s="143">
        <f t="shared" si="0"/>
        <v>43774</v>
      </c>
      <c r="C28" s="129">
        <f>'24 мес (аннуитет)'!C33</f>
        <v>40.920399126725371</v>
      </c>
      <c r="D28" s="141">
        <f>'24 мес (аннуитет)'!I33</f>
        <v>6.8200665211208955</v>
      </c>
      <c r="E28" s="129">
        <f>'24 мес (аннуитет)'!D33</f>
        <v>25.227212669779618</v>
      </c>
      <c r="F28" s="141">
        <f>'24 мес (аннуитет)'!E33</f>
        <v>0</v>
      </c>
      <c r="G28" s="142">
        <f>'24 мес (аннуитет)'!H33</f>
        <v>66.147611796504989</v>
      </c>
    </row>
    <row r="29" spans="1:7">
      <c r="A29" s="134">
        <v>14</v>
      </c>
      <c r="B29" s="143">
        <f t="shared" si="0"/>
        <v>43804</v>
      </c>
      <c r="C29" s="129">
        <f>'24 мес (аннуитет)'!C34</f>
        <v>42.591315424399994</v>
      </c>
      <c r="D29" s="141">
        <f>'24 мес (аннуитет)'!I34</f>
        <v>7.0985525707333323</v>
      </c>
      <c r="E29" s="129">
        <f>'24 мес (аннуитет)'!D34</f>
        <v>23.556296372104999</v>
      </c>
      <c r="F29" s="141">
        <f>'24 мес (аннуитет)'!E34</f>
        <v>0</v>
      </c>
      <c r="G29" s="142">
        <f>'24 мес (аннуитет)'!H34</f>
        <v>66.147611796504989</v>
      </c>
    </row>
    <row r="30" spans="1:7">
      <c r="A30" s="134">
        <v>15</v>
      </c>
      <c r="B30" s="143">
        <f t="shared" si="0"/>
        <v>43835</v>
      </c>
      <c r="C30" s="129">
        <f>'24 мес (аннуитет)'!C35</f>
        <v>44.330460804229659</v>
      </c>
      <c r="D30" s="141">
        <f>'24 мес (аннуитет)'!I35</f>
        <v>7.3884101340382768</v>
      </c>
      <c r="E30" s="129">
        <f>'24 мес (аннуитет)'!D35</f>
        <v>21.817150992275334</v>
      </c>
      <c r="F30" s="141">
        <f>'24 мес (аннуитет)'!E35</f>
        <v>0</v>
      </c>
      <c r="G30" s="142">
        <f>'24 мес (аннуитет)'!H35</f>
        <v>66.147611796504989</v>
      </c>
    </row>
    <row r="31" spans="1:7">
      <c r="A31" s="134">
        <v>16</v>
      </c>
      <c r="B31" s="143">
        <f t="shared" si="0"/>
        <v>43866</v>
      </c>
      <c r="C31" s="129">
        <f>'24 мес (аннуитет)'!C36</f>
        <v>46.140621287069038</v>
      </c>
      <c r="D31" s="141">
        <f>'24 мес (аннуитет)'!I36</f>
        <v>7.6901035478448403</v>
      </c>
      <c r="E31" s="129">
        <f>'24 мес (аннуитет)'!D36</f>
        <v>20.006990509435955</v>
      </c>
      <c r="F31" s="141">
        <f>'24 мес (аннуитет)'!E36</f>
        <v>0</v>
      </c>
      <c r="G31" s="142">
        <f>'24 мес (аннуитет)'!H36</f>
        <v>66.147611796504989</v>
      </c>
    </row>
    <row r="32" spans="1:7">
      <c r="A32" s="134">
        <v>17</v>
      </c>
      <c r="B32" s="143">
        <f t="shared" si="0"/>
        <v>43895</v>
      </c>
      <c r="C32" s="129">
        <f>'24 мес (аннуитет)'!C37</f>
        <v>48.02469665629102</v>
      </c>
      <c r="D32" s="141">
        <f>'24 мес (аннуитет)'!I37</f>
        <v>8.0041161093818367</v>
      </c>
      <c r="E32" s="129">
        <f>'24 мес (аннуитет)'!D37</f>
        <v>18.122915140213969</v>
      </c>
      <c r="F32" s="141">
        <f>'24 мес (аннуитет)'!E37</f>
        <v>0</v>
      </c>
      <c r="G32" s="142">
        <f>'24 мес (аннуитет)'!H37</f>
        <v>66.147611796504989</v>
      </c>
    </row>
    <row r="33" spans="1:7">
      <c r="A33" s="134">
        <v>18</v>
      </c>
      <c r="B33" s="143">
        <f t="shared" si="0"/>
        <v>43926</v>
      </c>
      <c r="C33" s="129">
        <f>'24 мес (аннуитет)'!C38</f>
        <v>49.985705103089572</v>
      </c>
      <c r="D33" s="141">
        <f>'24 мес (аннуитет)'!I38</f>
        <v>8.3309508505149292</v>
      </c>
      <c r="E33" s="129">
        <f>'24 мес (аннуитет)'!D38</f>
        <v>16.161906693415418</v>
      </c>
      <c r="F33" s="141">
        <f>'24 мес (аннуитет)'!E38</f>
        <v>0</v>
      </c>
      <c r="G33" s="142">
        <f>'24 мес (аннуитет)'!H38</f>
        <v>66.147611796504989</v>
      </c>
    </row>
    <row r="34" spans="1:7">
      <c r="A34" s="134">
        <v>19</v>
      </c>
      <c r="B34" s="143">
        <f t="shared" si="0"/>
        <v>43956</v>
      </c>
      <c r="C34" s="129">
        <f>'24 мес (аннуитет)'!C39</f>
        <v>52.02678806146573</v>
      </c>
      <c r="D34" s="141">
        <f>'24 мес (аннуитет)'!I39</f>
        <v>8.6711313435776223</v>
      </c>
      <c r="E34" s="129">
        <f>'24 мес (аннуитет)'!D39</f>
        <v>14.120823735039261</v>
      </c>
      <c r="F34" s="141">
        <f>'24 мес (аннуитет)'!E39</f>
        <v>0</v>
      </c>
      <c r="G34" s="142">
        <f>'24 мес (аннуитет)'!H39</f>
        <v>66.147611796504989</v>
      </c>
    </row>
    <row r="35" spans="1:7">
      <c r="A35" s="134">
        <v>20</v>
      </c>
      <c r="B35" s="143">
        <f t="shared" si="0"/>
        <v>43987</v>
      </c>
      <c r="C35" s="129">
        <f>'24 мес (аннуитет)'!C40</f>
        <v>54.151215240642244</v>
      </c>
      <c r="D35" s="141">
        <f>'24 мес (аннуитет)'!I40</f>
        <v>9.0252025401070419</v>
      </c>
      <c r="E35" s="129">
        <f>'24 мес (аннуитет)'!D40</f>
        <v>11.996396555862745</v>
      </c>
      <c r="F35" s="141">
        <f>'24 мес (аннуитет)'!E40</f>
        <v>0</v>
      </c>
      <c r="G35" s="142">
        <f>'24 мес (аннуитет)'!H40</f>
        <v>66.147611796504989</v>
      </c>
    </row>
    <row r="36" spans="1:7">
      <c r="A36" s="134">
        <v>21</v>
      </c>
      <c r="B36" s="143">
        <f t="shared" si="0"/>
        <v>44017</v>
      </c>
      <c r="C36" s="129">
        <f>'24 мес (аннуитет)'!C41</f>
        <v>56.36238986296847</v>
      </c>
      <c r="D36" s="141">
        <f>'24 мес (аннуитет)'!I41</f>
        <v>9.3937316438280796</v>
      </c>
      <c r="E36" s="129">
        <f>'24 мес (аннуитет)'!D41</f>
        <v>9.7852219335365191</v>
      </c>
      <c r="F36" s="141">
        <f>'24 мес (аннуитет)'!E41</f>
        <v>0</v>
      </c>
      <c r="G36" s="142">
        <f>'24 мес (аннуитет)'!H41</f>
        <v>66.147611796504989</v>
      </c>
    </row>
    <row r="37" spans="1:7">
      <c r="A37" s="134">
        <v>22</v>
      </c>
      <c r="B37" s="143">
        <f t="shared" si="0"/>
        <v>44048</v>
      </c>
      <c r="C37" s="129">
        <f>'24 мес (аннуитет)'!C42</f>
        <v>58.66385411570635</v>
      </c>
      <c r="D37" s="141">
        <f>'24 мес (аннуитет)'!I42</f>
        <v>9.7773090192843917</v>
      </c>
      <c r="E37" s="129">
        <f>'24 мес (аннуитет)'!D42</f>
        <v>7.4837576807986403</v>
      </c>
      <c r="F37" s="141">
        <f>'24 мес (аннуитет)'!E42</f>
        <v>0</v>
      </c>
      <c r="G37" s="142">
        <f>'24 мес (аннуитет)'!H42</f>
        <v>66.147611796504989</v>
      </c>
    </row>
    <row r="38" spans="1:7">
      <c r="A38" s="134">
        <v>23</v>
      </c>
      <c r="B38" s="143">
        <f t="shared" si="0"/>
        <v>44079</v>
      </c>
      <c r="C38" s="129">
        <f>'24 мес (аннуитет)'!C43</f>
        <v>61.059294825431024</v>
      </c>
      <c r="D38" s="141">
        <f>'24 мес (аннуитет)'!I43</f>
        <v>10.176549137571838</v>
      </c>
      <c r="E38" s="129">
        <f>'24 мес (аннуитет)'!D43</f>
        <v>5.0883169710739642</v>
      </c>
      <c r="F38" s="141">
        <f>'24 мес (аннуитет)'!E43</f>
        <v>0</v>
      </c>
      <c r="G38" s="142">
        <f>'24 мес (аннуитет)'!H43</f>
        <v>66.147611796504989</v>
      </c>
    </row>
    <row r="39" spans="1:7">
      <c r="A39" s="134">
        <v>24</v>
      </c>
      <c r="B39" s="143">
        <f t="shared" si="0"/>
        <v>44109</v>
      </c>
      <c r="C39" s="129">
        <f>'24 мес (аннуитет)'!C44</f>
        <v>63.552549364135459</v>
      </c>
      <c r="D39" s="141">
        <f>'24 мес (аннуитет)'!I44</f>
        <v>10.592091560689244</v>
      </c>
      <c r="E39" s="129">
        <f>'24 мес (аннуитет)'!D44</f>
        <v>2.5950624323688642</v>
      </c>
      <c r="F39" s="141">
        <f>'24 мес (аннуитет)'!E44</f>
        <v>0</v>
      </c>
      <c r="G39" s="142">
        <f>'24 мес (аннуитет)'!H44</f>
        <v>66.147611796504322</v>
      </c>
    </row>
    <row r="40" spans="1:7">
      <c r="A40" s="284" t="s">
        <v>1</v>
      </c>
      <c r="B40" s="285"/>
      <c r="C40" s="144">
        <f>SUM(C15:C39)</f>
        <v>1000</v>
      </c>
      <c r="D40" s="144">
        <f>SUM(D15:D39)</f>
        <v>166.66666666666669</v>
      </c>
      <c r="E40" s="144"/>
      <c r="F40" s="145"/>
      <c r="G40" s="146"/>
    </row>
    <row r="41" spans="1:7">
      <c r="A41" s="147" t="s">
        <v>187</v>
      </c>
      <c r="B41" s="147"/>
      <c r="C41" s="147"/>
      <c r="D41" s="147"/>
      <c r="E41" s="147"/>
      <c r="F41" s="147"/>
      <c r="G41" s="147"/>
    </row>
    <row r="42" spans="1:7" ht="7.5" customHeight="1">
      <c r="A42" s="148"/>
      <c r="B42" s="148"/>
      <c r="C42" s="148"/>
      <c r="D42" s="148"/>
      <c r="E42" s="148"/>
      <c r="F42" s="148"/>
      <c r="G42" s="148"/>
    </row>
    <row r="43" spans="1:7" ht="15.75" customHeight="1">
      <c r="A43" s="149"/>
      <c r="B43" s="149"/>
      <c r="C43" s="149"/>
      <c r="D43" s="149"/>
      <c r="E43" s="149"/>
      <c r="F43" s="149"/>
      <c r="G43" s="149"/>
    </row>
    <row r="44" spans="1:7" ht="15.75" customHeight="1">
      <c r="A44" s="149"/>
      <c r="B44" s="149"/>
      <c r="C44" s="149"/>
      <c r="D44" s="149"/>
      <c r="E44" s="149"/>
      <c r="F44" s="149"/>
      <c r="G44" s="149"/>
    </row>
    <row r="45" spans="1:7" ht="11.25" customHeight="1">
      <c r="A45" s="149"/>
      <c r="B45" s="149"/>
      <c r="C45" s="149"/>
      <c r="D45" s="149"/>
      <c r="E45" s="149"/>
      <c r="F45" s="149"/>
      <c r="G45" s="149"/>
    </row>
    <row r="46" spans="1:7">
      <c r="A46" s="150"/>
      <c r="B46" s="150"/>
      <c r="C46" s="150"/>
      <c r="D46" s="150"/>
      <c r="E46" s="150"/>
      <c r="F46" s="150"/>
      <c r="G46" s="150"/>
    </row>
    <row r="47" spans="1:7">
      <c r="A47" s="151"/>
      <c r="B47" s="150"/>
      <c r="C47" s="150"/>
      <c r="D47" s="150"/>
      <c r="E47" s="150"/>
      <c r="F47" s="126"/>
      <c r="G47" s="150"/>
    </row>
    <row r="48" spans="1:7">
      <c r="A48" s="152"/>
      <c r="B48" s="152"/>
      <c r="C48" s="152"/>
      <c r="D48" s="150"/>
      <c r="E48" s="150"/>
      <c r="F48" s="150"/>
      <c r="G48" s="150"/>
    </row>
    <row r="49" spans="1:7">
      <c r="A49" s="150"/>
      <c r="B49" s="150"/>
      <c r="C49" s="150"/>
      <c r="D49" s="150"/>
      <c r="E49" s="150"/>
    </row>
    <row r="50" spans="1:7">
      <c r="A50" s="153"/>
      <c r="B50" s="154"/>
      <c r="C50" s="154"/>
      <c r="D50" s="150"/>
      <c r="E50" s="150"/>
      <c r="F50" s="286"/>
      <c r="G50" s="286"/>
    </row>
    <row r="51" spans="1:7">
      <c r="A51" s="287"/>
      <c r="B51" s="287"/>
      <c r="C51" s="155"/>
      <c r="D51" s="150"/>
      <c r="E51" s="150"/>
      <c r="F51" s="156"/>
      <c r="G51" s="150"/>
    </row>
    <row r="52" spans="1:7">
      <c r="D52" s="155"/>
      <c r="E52" s="155"/>
      <c r="F52" s="155"/>
      <c r="G52" s="155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3:G3"/>
    <mergeCell ref="A40:B40"/>
    <mergeCell ref="F50:G50"/>
    <mergeCell ref="A51:B51"/>
  </mergeCells>
  <pageMargins left="0.62992125984251968" right="0.35433070866141736" top="0.39370078740157483" bottom="0.39370078740157483" header="0.31496062992125984" footer="0.31496062992125984"/>
  <pageSetup paperSize="9" scale="9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64"/>
  <sheetViews>
    <sheetView workbookViewId="0">
      <selection activeCell="C17" sqref="C17"/>
    </sheetView>
  </sheetViews>
  <sheetFormatPr defaultColWidth="13.85546875" defaultRowHeight="15"/>
  <cols>
    <col min="1" max="1" width="9.5703125" style="157" customWidth="1"/>
    <col min="2" max="16384" width="13.85546875" style="157"/>
  </cols>
  <sheetData>
    <row r="1" spans="1:7">
      <c r="E1" s="158"/>
    </row>
    <row r="3" spans="1:7">
      <c r="A3" s="289" t="s">
        <v>32</v>
      </c>
      <c r="B3" s="289"/>
      <c r="C3" s="289"/>
      <c r="D3" s="289"/>
      <c r="E3" s="289"/>
      <c r="F3" s="289"/>
      <c r="G3" s="289"/>
    </row>
    <row r="5" spans="1:7">
      <c r="A5" s="158"/>
      <c r="B5" s="158"/>
      <c r="F5" s="159"/>
    </row>
    <row r="7" spans="1:7">
      <c r="A7" s="160" t="s">
        <v>190</v>
      </c>
      <c r="B7" s="160"/>
      <c r="C7" s="160"/>
      <c r="D7" s="160"/>
      <c r="E7" s="161">
        <f>'36 мес'!F5</f>
        <v>1000</v>
      </c>
      <c r="G7" s="160"/>
    </row>
    <row r="8" spans="1:7">
      <c r="A8" s="160" t="s">
        <v>184</v>
      </c>
      <c r="B8" s="160"/>
      <c r="C8" s="160"/>
      <c r="D8" s="160"/>
      <c r="E8" s="162">
        <f>E7*20/120</f>
        <v>166.66666666666666</v>
      </c>
      <c r="G8" s="163"/>
    </row>
    <row r="9" spans="1:7">
      <c r="A9" s="160" t="s">
        <v>70</v>
      </c>
      <c r="B9" s="160"/>
      <c r="C9" s="160"/>
      <c r="D9" s="160"/>
      <c r="E9" s="164">
        <f>'36 мес'!F6</f>
        <v>0</v>
      </c>
      <c r="G9" s="163"/>
    </row>
    <row r="10" spans="1:7">
      <c r="A10" s="160" t="s">
        <v>183</v>
      </c>
      <c r="B10" s="160"/>
      <c r="C10" s="160"/>
      <c r="D10" s="160"/>
      <c r="E10" s="165">
        <f>'36 мес'!G6</f>
        <v>0</v>
      </c>
      <c r="G10" s="160"/>
    </row>
    <row r="11" spans="1:7">
      <c r="A11" s="160" t="s">
        <v>35</v>
      </c>
      <c r="B11" s="160"/>
      <c r="C11" s="160"/>
      <c r="D11" s="160"/>
      <c r="E11" s="166">
        <f>'36 мес'!F7</f>
        <v>36</v>
      </c>
      <c r="G11" s="160"/>
    </row>
    <row r="12" spans="1:7">
      <c r="A12" s="160" t="s">
        <v>82</v>
      </c>
      <c r="B12" s="160"/>
      <c r="C12" s="160"/>
      <c r="D12" s="160"/>
      <c r="E12" s="166" t="s">
        <v>201</v>
      </c>
      <c r="G12" s="160"/>
    </row>
    <row r="13" spans="1:7">
      <c r="A13" s="167"/>
      <c r="B13" s="167"/>
      <c r="C13" s="167"/>
      <c r="D13" s="167"/>
      <c r="E13" s="166"/>
      <c r="F13" s="166"/>
      <c r="G13" s="166"/>
    </row>
    <row r="14" spans="1:7" ht="57">
      <c r="A14" s="168" t="s">
        <v>185</v>
      </c>
      <c r="B14" s="137" t="s">
        <v>203</v>
      </c>
      <c r="C14" s="169" t="s">
        <v>204</v>
      </c>
      <c r="D14" s="169" t="s">
        <v>109</v>
      </c>
      <c r="E14" s="169" t="s">
        <v>104</v>
      </c>
      <c r="F14" s="169" t="s">
        <v>186</v>
      </c>
      <c r="G14" s="137" t="s">
        <v>108</v>
      </c>
    </row>
    <row r="15" spans="1:7">
      <c r="A15" s="170" t="s">
        <v>121</v>
      </c>
      <c r="B15" s="171" t="s">
        <v>114</v>
      </c>
      <c r="C15" s="161">
        <f>E10</f>
        <v>0</v>
      </c>
      <c r="D15" s="172">
        <f>C15*20/120</f>
        <v>0</v>
      </c>
      <c r="E15" s="161"/>
      <c r="F15" s="172"/>
      <c r="G15" s="173"/>
    </row>
    <row r="16" spans="1:7">
      <c r="A16" s="166">
        <v>1</v>
      </c>
      <c r="B16" s="174">
        <f>EOMONTH(B15,0)+DAY(B15)</f>
        <v>43409</v>
      </c>
      <c r="C16" s="161">
        <f>'36 мес'!C21</f>
        <v>27.777777777777779</v>
      </c>
      <c r="D16" s="172">
        <f>'36 мес'!I21</f>
        <v>4.6296296296296298</v>
      </c>
      <c r="E16" s="161">
        <f>'36 мес'!D21</f>
        <v>40.833333333333336</v>
      </c>
      <c r="F16" s="172">
        <f>'36 мес'!E21</f>
        <v>0</v>
      </c>
      <c r="G16" s="173">
        <f>'36 мес'!H21</f>
        <v>68.611111111111114</v>
      </c>
    </row>
    <row r="17" spans="1:7">
      <c r="A17" s="166">
        <v>2</v>
      </c>
      <c r="B17" s="174">
        <f t="shared" ref="B17:B51" si="0">EOMONTH(B16,0)+DAY(B16)</f>
        <v>43439</v>
      </c>
      <c r="C17" s="161">
        <f>'36 мес'!C22</f>
        <v>27.777777777777779</v>
      </c>
      <c r="D17" s="172">
        <f>'36 мес'!I22</f>
        <v>4.6296296296296298</v>
      </c>
      <c r="E17" s="161">
        <f>'36 мес'!D22</f>
        <v>39.699074074074069</v>
      </c>
      <c r="F17" s="172">
        <f>'36 мес'!E22</f>
        <v>0</v>
      </c>
      <c r="G17" s="173">
        <f>'36 мес'!H22</f>
        <v>67.476851851851848</v>
      </c>
    </row>
    <row r="18" spans="1:7">
      <c r="A18" s="166">
        <v>3</v>
      </c>
      <c r="B18" s="174">
        <f t="shared" si="0"/>
        <v>43470</v>
      </c>
      <c r="C18" s="161">
        <f>'36 мес'!C23</f>
        <v>27.777777777777779</v>
      </c>
      <c r="D18" s="172">
        <f>'36 мес'!I23</f>
        <v>4.6296296296296298</v>
      </c>
      <c r="E18" s="161">
        <f>'36 мес'!D23</f>
        <v>38.56481481481481</v>
      </c>
      <c r="F18" s="172">
        <f>'36 мес'!E23</f>
        <v>0</v>
      </c>
      <c r="G18" s="173">
        <f>'36 мес'!H23</f>
        <v>66.342592592592581</v>
      </c>
    </row>
    <row r="19" spans="1:7">
      <c r="A19" s="166">
        <v>4</v>
      </c>
      <c r="B19" s="174">
        <f t="shared" si="0"/>
        <v>43501</v>
      </c>
      <c r="C19" s="161">
        <f>'36 мес'!C24</f>
        <v>27.777777777777779</v>
      </c>
      <c r="D19" s="172">
        <f>'36 мес'!I24</f>
        <v>4.6296296296296298</v>
      </c>
      <c r="E19" s="161">
        <f>'36 мес'!D24</f>
        <v>37.43055555555555</v>
      </c>
      <c r="F19" s="172">
        <f>'36 мес'!E24</f>
        <v>0</v>
      </c>
      <c r="G19" s="173">
        <f>'36 мес'!H24</f>
        <v>65.208333333333329</v>
      </c>
    </row>
    <row r="20" spans="1:7">
      <c r="A20" s="166">
        <v>5</v>
      </c>
      <c r="B20" s="174">
        <f t="shared" si="0"/>
        <v>43529</v>
      </c>
      <c r="C20" s="161">
        <f>'36 мес'!C25</f>
        <v>27.777777777777779</v>
      </c>
      <c r="D20" s="172">
        <f>'36 мес'!I25</f>
        <v>4.6296296296296298</v>
      </c>
      <c r="E20" s="161">
        <f>'36 мес'!D25</f>
        <v>36.296296296296283</v>
      </c>
      <c r="F20" s="172">
        <f>'36 мес'!E25</f>
        <v>0</v>
      </c>
      <c r="G20" s="173">
        <f>'36 мес'!H25</f>
        <v>64.074074074074062</v>
      </c>
    </row>
    <row r="21" spans="1:7">
      <c r="A21" s="166">
        <v>6</v>
      </c>
      <c r="B21" s="174">
        <f t="shared" si="0"/>
        <v>43560</v>
      </c>
      <c r="C21" s="161">
        <f>'36 мес'!C26</f>
        <v>27.777777777777779</v>
      </c>
      <c r="D21" s="172">
        <f>'36 мес'!I26</f>
        <v>4.6296296296296298</v>
      </c>
      <c r="E21" s="161">
        <f>'36 мес'!D26</f>
        <v>35.162037037037024</v>
      </c>
      <c r="F21" s="172">
        <f>'36 мес'!E26</f>
        <v>0</v>
      </c>
      <c r="G21" s="173">
        <f>'36 мес'!H26</f>
        <v>62.939814814814802</v>
      </c>
    </row>
    <row r="22" spans="1:7">
      <c r="A22" s="166">
        <v>7</v>
      </c>
      <c r="B22" s="174">
        <f t="shared" si="0"/>
        <v>43590</v>
      </c>
      <c r="C22" s="161">
        <f>'36 мес'!C27</f>
        <v>27.777777777777779</v>
      </c>
      <c r="D22" s="172">
        <f>'36 мес'!I27</f>
        <v>4.6296296296296298</v>
      </c>
      <c r="E22" s="161">
        <f>'36 мес'!D27</f>
        <v>34.027777777777764</v>
      </c>
      <c r="F22" s="172">
        <f>'36 мес'!E27</f>
        <v>0</v>
      </c>
      <c r="G22" s="173">
        <f>'36 мес'!H27</f>
        <v>61.805555555555543</v>
      </c>
    </row>
    <row r="23" spans="1:7">
      <c r="A23" s="166">
        <v>8</v>
      </c>
      <c r="B23" s="174">
        <f t="shared" si="0"/>
        <v>43621</v>
      </c>
      <c r="C23" s="161">
        <f>'36 мес'!C28</f>
        <v>27.777777777777779</v>
      </c>
      <c r="D23" s="172">
        <f>'36 мес'!I28</f>
        <v>4.6296296296296298</v>
      </c>
      <c r="E23" s="161">
        <f>'36 мес'!D28</f>
        <v>32.893518518518505</v>
      </c>
      <c r="F23" s="172">
        <f>'36 мес'!E28</f>
        <v>0</v>
      </c>
      <c r="G23" s="173">
        <f>'36 мес'!H28</f>
        <v>60.671296296296283</v>
      </c>
    </row>
    <row r="24" spans="1:7">
      <c r="A24" s="166">
        <v>9</v>
      </c>
      <c r="B24" s="174">
        <f t="shared" si="0"/>
        <v>43651</v>
      </c>
      <c r="C24" s="161">
        <f>'36 мес'!C29</f>
        <v>27.777777777777779</v>
      </c>
      <c r="D24" s="172">
        <f>'36 мес'!I29</f>
        <v>4.6296296296296298</v>
      </c>
      <c r="E24" s="161">
        <f>'36 мес'!D29</f>
        <v>31.759259259259242</v>
      </c>
      <c r="F24" s="172">
        <f>'36 мес'!E29</f>
        <v>0</v>
      </c>
      <c r="G24" s="173">
        <f>'36 мес'!H29</f>
        <v>59.537037037037024</v>
      </c>
    </row>
    <row r="25" spans="1:7">
      <c r="A25" s="166">
        <v>10</v>
      </c>
      <c r="B25" s="174">
        <f t="shared" si="0"/>
        <v>43682</v>
      </c>
      <c r="C25" s="161">
        <f>'36 мес'!C30</f>
        <v>27.777777777777779</v>
      </c>
      <c r="D25" s="172">
        <f>'36 мес'!I30</f>
        <v>4.6296296296296298</v>
      </c>
      <c r="E25" s="161">
        <f>'36 мес'!D30</f>
        <v>30.624999999999982</v>
      </c>
      <c r="F25" s="172">
        <f>'36 мес'!E30</f>
        <v>0</v>
      </c>
      <c r="G25" s="173">
        <f>'36 мес'!H30</f>
        <v>58.402777777777757</v>
      </c>
    </row>
    <row r="26" spans="1:7">
      <c r="A26" s="166">
        <v>11</v>
      </c>
      <c r="B26" s="174">
        <f t="shared" si="0"/>
        <v>43713</v>
      </c>
      <c r="C26" s="161">
        <f>'36 мес'!C31</f>
        <v>27.777777777777779</v>
      </c>
      <c r="D26" s="172">
        <f>'36 мес'!I31</f>
        <v>4.6296296296296298</v>
      </c>
      <c r="E26" s="161">
        <f>'36 мес'!D31</f>
        <v>29.490740740740719</v>
      </c>
      <c r="F26" s="172">
        <f>'36 мес'!E31</f>
        <v>0</v>
      </c>
      <c r="G26" s="173">
        <f>'36 мес'!H31</f>
        <v>57.268518518518498</v>
      </c>
    </row>
    <row r="27" spans="1:7">
      <c r="A27" s="166">
        <v>12</v>
      </c>
      <c r="B27" s="174">
        <f t="shared" si="0"/>
        <v>43743</v>
      </c>
      <c r="C27" s="161">
        <f>'36 мес'!C32</f>
        <v>27.777777777777779</v>
      </c>
      <c r="D27" s="172">
        <f>'36 мес'!I32</f>
        <v>4.6296296296296298</v>
      </c>
      <c r="E27" s="161">
        <f>'36 мес'!D32</f>
        <v>28.356481481481456</v>
      </c>
      <c r="F27" s="172">
        <f>'36 мес'!E32</f>
        <v>0</v>
      </c>
      <c r="G27" s="173">
        <f>'36 мес'!H32</f>
        <v>56.134259259259238</v>
      </c>
    </row>
    <row r="28" spans="1:7">
      <c r="A28" s="166">
        <v>13</v>
      </c>
      <c r="B28" s="174">
        <f t="shared" si="0"/>
        <v>43774</v>
      </c>
      <c r="C28" s="161">
        <f>'36 мес'!C33</f>
        <v>27.777777777777779</v>
      </c>
      <c r="D28" s="172">
        <f>'36 мес'!I33</f>
        <v>4.6296296296296298</v>
      </c>
      <c r="E28" s="161">
        <f>'36 мес'!D33</f>
        <v>27.222222222222197</v>
      </c>
      <c r="F28" s="172">
        <f>'36 мес'!E33</f>
        <v>0</v>
      </c>
      <c r="G28" s="173">
        <f>'36 мес'!H33</f>
        <v>54.999999999999972</v>
      </c>
    </row>
    <row r="29" spans="1:7">
      <c r="A29" s="166">
        <v>14</v>
      </c>
      <c r="B29" s="174">
        <f t="shared" si="0"/>
        <v>43804</v>
      </c>
      <c r="C29" s="161">
        <f>'36 мес'!C34</f>
        <v>27.777777777777779</v>
      </c>
      <c r="D29" s="172">
        <f>'36 мес'!I34</f>
        <v>4.6296296296296298</v>
      </c>
      <c r="E29" s="161">
        <f>'36 мес'!D34</f>
        <v>26.087962962962933</v>
      </c>
      <c r="F29" s="172">
        <f>'36 мес'!E34</f>
        <v>0</v>
      </c>
      <c r="G29" s="173">
        <f>'36 мес'!H34</f>
        <v>53.865740740740712</v>
      </c>
    </row>
    <row r="30" spans="1:7">
      <c r="A30" s="166">
        <v>15</v>
      </c>
      <c r="B30" s="174">
        <f t="shared" si="0"/>
        <v>43835</v>
      </c>
      <c r="C30" s="161">
        <f>'36 мес'!C35</f>
        <v>27.777777777777779</v>
      </c>
      <c r="D30" s="172">
        <f>'36 мес'!I35</f>
        <v>4.6296296296296298</v>
      </c>
      <c r="E30" s="161">
        <f>'36 мес'!D35</f>
        <v>24.953703703703678</v>
      </c>
      <c r="F30" s="172">
        <f>'36 мес'!E35</f>
        <v>0</v>
      </c>
      <c r="G30" s="173">
        <f>'36 мес'!H35</f>
        <v>52.731481481481453</v>
      </c>
    </row>
    <row r="31" spans="1:7">
      <c r="A31" s="166">
        <v>16</v>
      </c>
      <c r="B31" s="174">
        <f t="shared" si="0"/>
        <v>43866</v>
      </c>
      <c r="C31" s="161">
        <f>'36 мес'!C36</f>
        <v>27.777777777777779</v>
      </c>
      <c r="D31" s="172">
        <f>'36 мес'!I36</f>
        <v>4.6296296296296298</v>
      </c>
      <c r="E31" s="161">
        <f>'36 мес'!D36</f>
        <v>23.819444444444414</v>
      </c>
      <c r="F31" s="172">
        <f>'36 мес'!E36</f>
        <v>0</v>
      </c>
      <c r="G31" s="173">
        <f>'36 мес'!H36</f>
        <v>51.597222222222193</v>
      </c>
    </row>
    <row r="32" spans="1:7">
      <c r="A32" s="166">
        <v>17</v>
      </c>
      <c r="B32" s="174">
        <f t="shared" si="0"/>
        <v>43895</v>
      </c>
      <c r="C32" s="161">
        <f>'36 мес'!C37</f>
        <v>27.777777777777779</v>
      </c>
      <c r="D32" s="172">
        <f>'36 мес'!I37</f>
        <v>4.6296296296296298</v>
      </c>
      <c r="E32" s="161">
        <f>'36 мес'!D37</f>
        <v>22.685185185185151</v>
      </c>
      <c r="F32" s="172">
        <f>'36 мес'!E37</f>
        <v>0</v>
      </c>
      <c r="G32" s="173">
        <f>'36 мес'!H37</f>
        <v>50.462962962962933</v>
      </c>
    </row>
    <row r="33" spans="1:7">
      <c r="A33" s="166">
        <v>18</v>
      </c>
      <c r="B33" s="174">
        <f t="shared" si="0"/>
        <v>43926</v>
      </c>
      <c r="C33" s="161">
        <f>'36 мес'!C38</f>
        <v>27.777777777777779</v>
      </c>
      <c r="D33" s="172">
        <f>'36 мес'!I38</f>
        <v>4.6296296296296298</v>
      </c>
      <c r="E33" s="161">
        <f>'36 мес'!D38</f>
        <v>21.550925925925892</v>
      </c>
      <c r="F33" s="172">
        <f>'36 мес'!E38</f>
        <v>0</v>
      </c>
      <c r="G33" s="173">
        <f>'36 мес'!H38</f>
        <v>49.328703703703667</v>
      </c>
    </row>
    <row r="34" spans="1:7">
      <c r="A34" s="166">
        <v>19</v>
      </c>
      <c r="B34" s="174">
        <f t="shared" si="0"/>
        <v>43956</v>
      </c>
      <c r="C34" s="161">
        <f>'36 мес'!C39</f>
        <v>27.777777777777779</v>
      </c>
      <c r="D34" s="172">
        <f>'36 мес'!I39</f>
        <v>4.6296296296296298</v>
      </c>
      <c r="E34" s="161">
        <f>'36 мес'!D39</f>
        <v>20.416666666666632</v>
      </c>
      <c r="F34" s="172">
        <f>'36 мес'!E39</f>
        <v>0</v>
      </c>
      <c r="G34" s="173">
        <f>'36 мес'!H39</f>
        <v>48.194444444444414</v>
      </c>
    </row>
    <row r="35" spans="1:7">
      <c r="A35" s="166">
        <v>20</v>
      </c>
      <c r="B35" s="174">
        <f t="shared" si="0"/>
        <v>43987</v>
      </c>
      <c r="C35" s="161">
        <f>'36 мес'!C40</f>
        <v>27.777777777777779</v>
      </c>
      <c r="D35" s="172">
        <f>'36 мес'!I40</f>
        <v>4.6296296296296298</v>
      </c>
      <c r="E35" s="161">
        <f>'36 мес'!D40</f>
        <v>19.282407407407373</v>
      </c>
      <c r="F35" s="172">
        <f>'36 мес'!E40</f>
        <v>0</v>
      </c>
      <c r="G35" s="173">
        <f>'36 мес'!H40</f>
        <v>47.060185185185148</v>
      </c>
    </row>
    <row r="36" spans="1:7">
      <c r="A36" s="166">
        <v>21</v>
      </c>
      <c r="B36" s="174">
        <f t="shared" si="0"/>
        <v>44017</v>
      </c>
      <c r="C36" s="161">
        <f>'36 мес'!C41</f>
        <v>27.777777777777779</v>
      </c>
      <c r="D36" s="172">
        <f>'36 мес'!I41</f>
        <v>4.6296296296296298</v>
      </c>
      <c r="E36" s="161">
        <f>'36 мес'!D41</f>
        <v>18.148148148148113</v>
      </c>
      <c r="F36" s="172">
        <f>'36 мес'!E41</f>
        <v>0</v>
      </c>
      <c r="G36" s="173">
        <f>'36 мес'!H41</f>
        <v>45.925925925925895</v>
      </c>
    </row>
    <row r="37" spans="1:7">
      <c r="A37" s="166">
        <v>22</v>
      </c>
      <c r="B37" s="174">
        <f t="shared" si="0"/>
        <v>44048</v>
      </c>
      <c r="C37" s="161">
        <f>'36 мес'!C42</f>
        <v>27.777777777777779</v>
      </c>
      <c r="D37" s="172">
        <f>'36 мес'!I42</f>
        <v>4.6296296296296298</v>
      </c>
      <c r="E37" s="161">
        <f>'36 мес'!D42</f>
        <v>17.013888888888854</v>
      </c>
      <c r="F37" s="172">
        <f>'36 мес'!E42</f>
        <v>0</v>
      </c>
      <c r="G37" s="173">
        <f>'36 мес'!H42</f>
        <v>44.791666666666629</v>
      </c>
    </row>
    <row r="38" spans="1:7">
      <c r="A38" s="166">
        <v>23</v>
      </c>
      <c r="B38" s="174">
        <f t="shared" si="0"/>
        <v>44079</v>
      </c>
      <c r="C38" s="161">
        <f>'36 мес'!C43</f>
        <v>27.777777777777779</v>
      </c>
      <c r="D38" s="172">
        <f>'36 мес'!I43</f>
        <v>4.6296296296296298</v>
      </c>
      <c r="E38" s="161">
        <f>'36 мес'!D43</f>
        <v>15.879629629629596</v>
      </c>
      <c r="F38" s="172">
        <f>'36 мес'!E43</f>
        <v>0</v>
      </c>
      <c r="G38" s="173">
        <f>'36 мес'!H43</f>
        <v>43.657407407407376</v>
      </c>
    </row>
    <row r="39" spans="1:7">
      <c r="A39" s="166">
        <v>24</v>
      </c>
      <c r="B39" s="174">
        <f t="shared" si="0"/>
        <v>44109</v>
      </c>
      <c r="C39" s="161">
        <f>'36 мес'!C44</f>
        <v>27.777777777777779</v>
      </c>
      <c r="D39" s="172">
        <f>'36 мес'!I44</f>
        <v>4.6296296296296298</v>
      </c>
      <c r="E39" s="161">
        <f>'36 мес'!D44</f>
        <v>14.745370370370336</v>
      </c>
      <c r="F39" s="172">
        <f>'36 мес'!E44</f>
        <v>0</v>
      </c>
      <c r="G39" s="173">
        <f>'36 мес'!H44</f>
        <v>42.523148148148117</v>
      </c>
    </row>
    <row r="40" spans="1:7">
      <c r="A40" s="166">
        <v>25</v>
      </c>
      <c r="B40" s="174">
        <f t="shared" si="0"/>
        <v>44140</v>
      </c>
      <c r="C40" s="161">
        <f>'36 мес'!C45</f>
        <v>27.777777777777779</v>
      </c>
      <c r="D40" s="172">
        <f>'36 мес'!I45</f>
        <v>4.6296296296296298</v>
      </c>
      <c r="E40" s="161">
        <f>'36 мес'!D45</f>
        <v>13.611111111111079</v>
      </c>
      <c r="F40" s="172">
        <f>'36 мес'!E45</f>
        <v>0</v>
      </c>
      <c r="G40" s="173">
        <f>'36 мес'!H45</f>
        <v>41.388888888888857</v>
      </c>
    </row>
    <row r="41" spans="1:7">
      <c r="A41" s="166">
        <v>26</v>
      </c>
      <c r="B41" s="174">
        <f t="shared" si="0"/>
        <v>44170</v>
      </c>
      <c r="C41" s="161">
        <f>'36 мес'!C46</f>
        <v>27.777777777777779</v>
      </c>
      <c r="D41" s="172">
        <f>'36 мес'!I46</f>
        <v>4.6296296296296298</v>
      </c>
      <c r="E41" s="161">
        <f>'36 мес'!D46</f>
        <v>12.476851851851819</v>
      </c>
      <c r="F41" s="172">
        <f>'36 мес'!E46</f>
        <v>0</v>
      </c>
      <c r="G41" s="173">
        <f>'36 мес'!H46</f>
        <v>40.254629629629598</v>
      </c>
    </row>
    <row r="42" spans="1:7">
      <c r="A42" s="166">
        <v>27</v>
      </c>
      <c r="B42" s="174">
        <f t="shared" si="0"/>
        <v>44201</v>
      </c>
      <c r="C42" s="161">
        <f>'36 мес'!C47</f>
        <v>27.777777777777779</v>
      </c>
      <c r="D42" s="172">
        <f>'36 мес'!I47</f>
        <v>4.6296296296296298</v>
      </c>
      <c r="E42" s="161">
        <f>'36 мес'!D47</f>
        <v>11.34259259259256</v>
      </c>
      <c r="F42" s="172">
        <f>'36 мес'!E47</f>
        <v>0</v>
      </c>
      <c r="G42" s="173">
        <f>'36 мес'!H47</f>
        <v>39.120370370370338</v>
      </c>
    </row>
    <row r="43" spans="1:7">
      <c r="A43" s="166">
        <v>28</v>
      </c>
      <c r="B43" s="174">
        <f t="shared" si="0"/>
        <v>44232</v>
      </c>
      <c r="C43" s="161">
        <f>'36 мес'!C48</f>
        <v>27.777777777777779</v>
      </c>
      <c r="D43" s="172">
        <f>'36 мес'!I48</f>
        <v>4.6296296296296298</v>
      </c>
      <c r="E43" s="161">
        <f>'36 мес'!D48</f>
        <v>10.2083333333333</v>
      </c>
      <c r="F43" s="172">
        <f>'36 мес'!E48</f>
        <v>0</v>
      </c>
      <c r="G43" s="173">
        <f>'36 мес'!H48</f>
        <v>37.986111111111079</v>
      </c>
    </row>
    <row r="44" spans="1:7">
      <c r="A44" s="166">
        <v>29</v>
      </c>
      <c r="B44" s="174">
        <f t="shared" si="0"/>
        <v>44260</v>
      </c>
      <c r="C44" s="161">
        <f>'36 мес'!C49</f>
        <v>27.777777777777779</v>
      </c>
      <c r="D44" s="172">
        <f>'36 мес'!I49</f>
        <v>4.6296296296296298</v>
      </c>
      <c r="E44" s="161">
        <f>'36 мес'!D49</f>
        <v>9.0740740740740424</v>
      </c>
      <c r="F44" s="172">
        <f>'36 мес'!E49</f>
        <v>0</v>
      </c>
      <c r="G44" s="173">
        <f>'36 мес'!H49</f>
        <v>36.851851851851819</v>
      </c>
    </row>
    <row r="45" spans="1:7">
      <c r="A45" s="166">
        <v>30</v>
      </c>
      <c r="B45" s="174">
        <f t="shared" si="0"/>
        <v>44291</v>
      </c>
      <c r="C45" s="161">
        <f>'36 мес'!C50</f>
        <v>27.777777777777779</v>
      </c>
      <c r="D45" s="172">
        <f>'36 мес'!I50</f>
        <v>4.6296296296296298</v>
      </c>
      <c r="E45" s="161">
        <f>'36 мес'!D50</f>
        <v>7.939814814814782</v>
      </c>
      <c r="F45" s="172">
        <f>'36 мес'!E50</f>
        <v>0</v>
      </c>
      <c r="G45" s="173">
        <f>'36 мес'!H50</f>
        <v>35.71759259259256</v>
      </c>
    </row>
    <row r="46" spans="1:7">
      <c r="A46" s="166">
        <v>31</v>
      </c>
      <c r="B46" s="174">
        <f t="shared" si="0"/>
        <v>44321</v>
      </c>
      <c r="C46" s="161">
        <f>'36 мес'!C51</f>
        <v>27.777777777777779</v>
      </c>
      <c r="D46" s="172">
        <f>'36 мес'!I51</f>
        <v>4.6296296296296298</v>
      </c>
      <c r="E46" s="161">
        <f>'36 мес'!D51</f>
        <v>6.8055555555555243</v>
      </c>
      <c r="F46" s="172">
        <f>'36 мес'!E51</f>
        <v>0</v>
      </c>
      <c r="G46" s="173">
        <f>'36 мес'!H51</f>
        <v>34.5833333333333</v>
      </c>
    </row>
    <row r="47" spans="1:7">
      <c r="A47" s="166">
        <v>32</v>
      </c>
      <c r="B47" s="174">
        <f t="shared" si="0"/>
        <v>44352</v>
      </c>
      <c r="C47" s="161">
        <f>'36 мес'!C52</f>
        <v>27.777777777777779</v>
      </c>
      <c r="D47" s="172">
        <f>'36 мес'!I52</f>
        <v>4.6296296296296298</v>
      </c>
      <c r="E47" s="161">
        <f>'36 мес'!D52</f>
        <v>5.6712962962962647</v>
      </c>
      <c r="F47" s="172">
        <f>'36 мес'!E52</f>
        <v>0</v>
      </c>
      <c r="G47" s="173">
        <f>'36 мес'!H52</f>
        <v>33.449074074074041</v>
      </c>
    </row>
    <row r="48" spans="1:7">
      <c r="A48" s="166">
        <v>33</v>
      </c>
      <c r="B48" s="174">
        <f t="shared" si="0"/>
        <v>44382</v>
      </c>
      <c r="C48" s="161">
        <f>'36 мес'!C53</f>
        <v>27.777777777777779</v>
      </c>
      <c r="D48" s="172">
        <f>'36 мес'!I53</f>
        <v>4.6296296296296298</v>
      </c>
      <c r="E48" s="161">
        <f>'36 мес'!D53</f>
        <v>4.5370370370370052</v>
      </c>
      <c r="F48" s="172">
        <f>'36 мес'!E53</f>
        <v>0</v>
      </c>
      <c r="G48" s="173">
        <f>'36 мес'!H53</f>
        <v>32.314814814814781</v>
      </c>
    </row>
    <row r="49" spans="1:7">
      <c r="A49" s="166">
        <v>34</v>
      </c>
      <c r="B49" s="174">
        <f t="shared" si="0"/>
        <v>44413</v>
      </c>
      <c r="C49" s="161">
        <f>'36 мес'!C54</f>
        <v>27.777777777777779</v>
      </c>
      <c r="D49" s="172">
        <f>'36 мес'!I54</f>
        <v>4.6296296296296298</v>
      </c>
      <c r="E49" s="161">
        <f>'36 мес'!D54</f>
        <v>3.4027777777777466</v>
      </c>
      <c r="F49" s="172">
        <f>'36 мес'!E54</f>
        <v>0</v>
      </c>
      <c r="G49" s="173">
        <f>'36 мес'!H54</f>
        <v>31.180555555555525</v>
      </c>
    </row>
    <row r="50" spans="1:7">
      <c r="A50" s="166">
        <v>35</v>
      </c>
      <c r="B50" s="174">
        <f t="shared" si="0"/>
        <v>44444</v>
      </c>
      <c r="C50" s="161">
        <f>'36 мес'!C55</f>
        <v>27.777777777777779</v>
      </c>
      <c r="D50" s="172">
        <f>'36 мес'!I55</f>
        <v>4.6296296296296298</v>
      </c>
      <c r="E50" s="161">
        <f>'36 мес'!D55</f>
        <v>2.2685185185184875</v>
      </c>
      <c r="F50" s="172">
        <f>'36 мес'!E55</f>
        <v>0</v>
      </c>
      <c r="G50" s="173">
        <f>'36 мес'!H55</f>
        <v>30.046296296296266</v>
      </c>
    </row>
    <row r="51" spans="1:7">
      <c r="A51" s="166">
        <v>36</v>
      </c>
      <c r="B51" s="174">
        <f t="shared" si="0"/>
        <v>44474</v>
      </c>
      <c r="C51" s="161">
        <f>'36 мес'!C56</f>
        <v>27.777777777777779</v>
      </c>
      <c r="D51" s="172">
        <f>'36 мес'!I56</f>
        <v>4.6296296296296298</v>
      </c>
      <c r="E51" s="161">
        <f>'36 мес'!D56</f>
        <v>1.1342592592592282</v>
      </c>
      <c r="F51" s="172">
        <f>'36 мес'!E56</f>
        <v>0</v>
      </c>
      <c r="G51" s="173">
        <f>'36 мес'!H56</f>
        <v>28.912037037037006</v>
      </c>
    </row>
    <row r="52" spans="1:7">
      <c r="A52" s="290" t="s">
        <v>1</v>
      </c>
      <c r="B52" s="291"/>
      <c r="C52" s="175">
        <f>SUM(C15:C51)</f>
        <v>1000.0000000000008</v>
      </c>
      <c r="D52" s="175">
        <f>SUM(D15:D51)</f>
        <v>166.66666666666666</v>
      </c>
      <c r="E52" s="175">
        <f>SUM(E15:E51)</f>
        <v>755.41666666666572</v>
      </c>
      <c r="F52" s="176"/>
      <c r="G52" s="177"/>
    </row>
    <row r="53" spans="1:7" ht="15.75">
      <c r="A53" s="147" t="s">
        <v>187</v>
      </c>
      <c r="B53" s="147"/>
      <c r="C53" s="147"/>
      <c r="D53" s="147"/>
      <c r="E53" s="147"/>
      <c r="F53" s="147"/>
      <c r="G53" s="147"/>
    </row>
    <row r="54" spans="1:7" ht="7.5" customHeight="1">
      <c r="A54" s="148"/>
      <c r="B54" s="148"/>
      <c r="C54" s="148"/>
      <c r="D54" s="148"/>
      <c r="E54" s="148"/>
      <c r="F54" s="148"/>
      <c r="G54" s="148"/>
    </row>
    <row r="55" spans="1:7" ht="15.75" customHeight="1">
      <c r="A55" s="149"/>
      <c r="B55" s="149"/>
      <c r="C55" s="149"/>
      <c r="D55" s="149"/>
      <c r="E55" s="149"/>
      <c r="F55" s="149"/>
      <c r="G55" s="149"/>
    </row>
    <row r="56" spans="1:7" ht="15.75" customHeight="1">
      <c r="A56" s="149"/>
      <c r="B56" s="149"/>
      <c r="C56" s="149"/>
      <c r="D56" s="149"/>
      <c r="E56" s="149"/>
      <c r="F56" s="149"/>
      <c r="G56" s="149"/>
    </row>
    <row r="57" spans="1:7" ht="11.25" customHeight="1">
      <c r="A57" s="149"/>
      <c r="B57" s="149"/>
      <c r="C57" s="149"/>
      <c r="D57" s="149"/>
      <c r="E57" s="149"/>
      <c r="F57" s="149"/>
      <c r="G57" s="149"/>
    </row>
    <row r="58" spans="1:7" ht="15.75">
      <c r="A58" s="150"/>
      <c r="B58" s="150"/>
      <c r="C58" s="150"/>
      <c r="D58" s="150"/>
      <c r="E58" s="150"/>
      <c r="F58" s="150"/>
      <c r="G58" s="150"/>
    </row>
    <row r="59" spans="1:7" ht="15.75">
      <c r="A59" s="151"/>
      <c r="B59" s="150"/>
      <c r="C59" s="150"/>
      <c r="D59" s="150"/>
      <c r="E59" s="150"/>
      <c r="F59" s="158"/>
      <c r="G59" s="150"/>
    </row>
    <row r="60" spans="1:7" ht="15.75">
      <c r="A60" s="152"/>
      <c r="B60" s="152"/>
      <c r="C60" s="152"/>
      <c r="D60" s="150"/>
      <c r="E60" s="150"/>
      <c r="F60" s="150"/>
      <c r="G60" s="150"/>
    </row>
    <row r="61" spans="1:7" ht="15.75">
      <c r="A61" s="150"/>
      <c r="B61" s="150"/>
      <c r="C61" s="150"/>
      <c r="D61" s="150"/>
      <c r="E61" s="150"/>
    </row>
    <row r="62" spans="1:7" ht="15.75">
      <c r="A62" s="153"/>
      <c r="B62" s="154"/>
      <c r="C62" s="154"/>
      <c r="D62" s="150"/>
      <c r="E62" s="150"/>
      <c r="F62" s="286"/>
      <c r="G62" s="286"/>
    </row>
    <row r="63" spans="1:7" ht="15.75">
      <c r="A63" s="287"/>
      <c r="B63" s="287"/>
      <c r="C63" s="155"/>
      <c r="D63" s="150"/>
      <c r="E63" s="150"/>
      <c r="F63" s="156"/>
      <c r="G63" s="150"/>
    </row>
    <row r="64" spans="1:7" ht="15.75">
      <c r="D64" s="155"/>
      <c r="E64" s="155"/>
      <c r="F64" s="155"/>
      <c r="G64" s="155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3:G3"/>
    <mergeCell ref="A52:B52"/>
    <mergeCell ref="F62:G62"/>
    <mergeCell ref="A63:B63"/>
  </mergeCells>
  <pageMargins left="0.39370078740157483" right="0.35433070866141736" top="0.39370078740157483" bottom="0.39370078740157483" header="0.31496062992125984" footer="0.31496062992125984"/>
  <pageSetup paperSize="9" scale="8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zoomScale="85" workbookViewId="0">
      <selection activeCell="L3" sqref="L3"/>
    </sheetView>
  </sheetViews>
  <sheetFormatPr defaultColWidth="10" defaultRowHeight="15"/>
  <sheetData>
    <row r="1" spans="1:13">
      <c r="A1" s="60">
        <v>0.49</v>
      </c>
      <c r="B1" s="61" t="s">
        <v>208</v>
      </c>
      <c r="C1" s="62">
        <v>12</v>
      </c>
      <c r="D1" s="62" t="s">
        <v>207</v>
      </c>
      <c r="E1" s="63" t="s">
        <v>208</v>
      </c>
      <c r="F1" s="62">
        <v>18</v>
      </c>
      <c r="G1" s="62" t="s">
        <v>207</v>
      </c>
      <c r="H1" s="63" t="s">
        <v>208</v>
      </c>
      <c r="I1" s="62">
        <v>24</v>
      </c>
      <c r="J1" s="62" t="s">
        <v>207</v>
      </c>
      <c r="K1" s="63" t="s">
        <v>208</v>
      </c>
      <c r="L1" s="62">
        <v>36</v>
      </c>
      <c r="M1" s="64" t="s">
        <v>207</v>
      </c>
    </row>
    <row r="2" spans="1:13">
      <c r="A2">
        <v>1</v>
      </c>
      <c r="B2" s="65">
        <f>'Калькулятор 12-48 мес'!$K$11</f>
        <v>1000</v>
      </c>
      <c r="C2" s="66">
        <f>ROUND('Калькулятор 12-48 мес'!$K$11/Лист1!$C$1,2)</f>
        <v>83.33</v>
      </c>
      <c r="D2" s="66">
        <f>ROUND(B2*$A$1/12,2)</f>
        <v>40.83</v>
      </c>
      <c r="E2" s="65">
        <f>'Калькулятор 12-48 мес'!$K$11</f>
        <v>1000</v>
      </c>
      <c r="F2" s="66">
        <f>ROUND('Калькулятор 12-48 мес'!$K$11/Лист1!$F$1,2)</f>
        <v>55.56</v>
      </c>
      <c r="G2" s="66">
        <f>ROUND(E2*$A$1/12,2)</f>
        <v>40.83</v>
      </c>
      <c r="H2" s="65">
        <f>'Калькулятор 12-48 мес'!$K$11</f>
        <v>1000</v>
      </c>
      <c r="I2" s="66">
        <f>ROUND('Калькулятор 12-48 мес'!$K$11/Лист1!$I$1,2)</f>
        <v>41.67</v>
      </c>
      <c r="J2" s="66">
        <f>ROUND(H2*$A$1/12,2)</f>
        <v>40.83</v>
      </c>
      <c r="K2" s="65">
        <f>'Калькулятор 12-48 мес'!$K$11</f>
        <v>1000</v>
      </c>
      <c r="L2" s="66">
        <f>ROUND('Калькулятор 12-48 мес'!$K$11/Лист1!$L$1,2)</f>
        <v>27.78</v>
      </c>
      <c r="M2" s="67">
        <f>ROUND(K2*$A$1/12,2)</f>
        <v>40.83</v>
      </c>
    </row>
    <row r="3" spans="1:13">
      <c r="A3">
        <v>2</v>
      </c>
      <c r="B3" s="65">
        <f>B2-C2</f>
        <v>916.67</v>
      </c>
      <c r="C3" s="66">
        <f>ROUND('Калькулятор 12-48 мес'!$K$11/Лист1!$C$1,2)</f>
        <v>83.33</v>
      </c>
      <c r="D3" s="66">
        <f t="shared" ref="D3:D13" si="0">ROUND(B3*$A$1/12,2)</f>
        <v>37.43</v>
      </c>
      <c r="E3" s="65">
        <f>E2-F2</f>
        <v>944.44</v>
      </c>
      <c r="F3" s="66">
        <f>ROUND('Калькулятор 12-48 мес'!$K$11/Лист1!$F$1,2)</f>
        <v>55.56</v>
      </c>
      <c r="G3" s="66">
        <f t="shared" ref="G3:G19" si="1">ROUND(E3*$A$1/12,2)</f>
        <v>38.56</v>
      </c>
      <c r="H3" s="65">
        <f>H2-I2</f>
        <v>958.33</v>
      </c>
      <c r="I3" s="66">
        <f>ROUND('Калькулятор 12-48 мес'!$K$11/Лист1!$I$1,2)</f>
        <v>41.67</v>
      </c>
      <c r="J3" s="66">
        <f t="shared" ref="J3:J25" si="2">ROUND(H3*$A$1/12,2)</f>
        <v>39.130000000000003</v>
      </c>
      <c r="K3" s="65">
        <f>K2-L2</f>
        <v>972.22</v>
      </c>
      <c r="L3" s="66">
        <f>ROUND('Калькулятор 12-48 мес'!$K$11/Лист1!$L$1,2)</f>
        <v>27.78</v>
      </c>
      <c r="M3" s="67">
        <f t="shared" ref="M3:M37" si="3">ROUND(K3*$A$1/12,2)</f>
        <v>39.700000000000003</v>
      </c>
    </row>
    <row r="4" spans="1:13">
      <c r="A4">
        <v>3</v>
      </c>
      <c r="B4" s="65">
        <f t="shared" ref="B4:B13" si="4">B3-C3</f>
        <v>833.33999999999992</v>
      </c>
      <c r="C4" s="66">
        <f>ROUND('Калькулятор 12-48 мес'!$K$11/Лист1!$C$1,2)</f>
        <v>83.33</v>
      </c>
      <c r="D4" s="66">
        <f t="shared" si="0"/>
        <v>34.03</v>
      </c>
      <c r="E4" s="65">
        <f t="shared" ref="E4:E19" si="5">E3-F3</f>
        <v>888.88000000000011</v>
      </c>
      <c r="F4" s="66">
        <f>ROUND('Калькулятор 12-48 мес'!$K$11/Лист1!$F$1,2)</f>
        <v>55.56</v>
      </c>
      <c r="G4" s="66">
        <f t="shared" si="1"/>
        <v>36.299999999999997</v>
      </c>
      <c r="H4" s="65">
        <f t="shared" ref="H4:H25" si="6">H3-I3</f>
        <v>916.66000000000008</v>
      </c>
      <c r="I4" s="66">
        <f>ROUND('Калькулятор 12-48 мес'!$K$11/Лист1!$I$1,2)</f>
        <v>41.67</v>
      </c>
      <c r="J4" s="66">
        <f t="shared" si="2"/>
        <v>37.43</v>
      </c>
      <c r="K4" s="65">
        <f t="shared" ref="K4:K37" si="7">K3-L3</f>
        <v>944.44</v>
      </c>
      <c r="L4" s="66">
        <f>ROUND('Калькулятор 12-48 мес'!$K$11/Лист1!$L$1,2)</f>
        <v>27.78</v>
      </c>
      <c r="M4" s="67">
        <f t="shared" si="3"/>
        <v>38.56</v>
      </c>
    </row>
    <row r="5" spans="1:13">
      <c r="A5">
        <v>4</v>
      </c>
      <c r="B5" s="65">
        <f t="shared" si="4"/>
        <v>750.00999999999988</v>
      </c>
      <c r="C5" s="66">
        <f>ROUND('Калькулятор 12-48 мес'!$K$11/Лист1!$C$1,2)</f>
        <v>83.33</v>
      </c>
      <c r="D5" s="66">
        <f t="shared" si="0"/>
        <v>30.63</v>
      </c>
      <c r="E5" s="65">
        <f t="shared" si="5"/>
        <v>833.32000000000016</v>
      </c>
      <c r="F5" s="66">
        <f>ROUND('Калькулятор 12-48 мес'!$K$11/Лист1!$F$1,2)</f>
        <v>55.56</v>
      </c>
      <c r="G5" s="66">
        <f t="shared" si="1"/>
        <v>34.03</v>
      </c>
      <c r="H5" s="65">
        <f t="shared" si="6"/>
        <v>874.99000000000012</v>
      </c>
      <c r="I5" s="66">
        <f>ROUND('Калькулятор 12-48 мес'!$K$11/Лист1!$I$1,2)</f>
        <v>41.67</v>
      </c>
      <c r="J5" s="66">
        <f t="shared" si="2"/>
        <v>35.729999999999997</v>
      </c>
      <c r="K5" s="65">
        <f t="shared" si="7"/>
        <v>916.66000000000008</v>
      </c>
      <c r="L5" s="66">
        <f>ROUND('Калькулятор 12-48 мес'!$K$11/Лист1!$L$1,2)</f>
        <v>27.78</v>
      </c>
      <c r="M5" s="67">
        <f t="shared" si="3"/>
        <v>37.43</v>
      </c>
    </row>
    <row r="6" spans="1:13">
      <c r="A6">
        <v>5</v>
      </c>
      <c r="B6" s="65">
        <f t="shared" si="4"/>
        <v>666.67999999999984</v>
      </c>
      <c r="C6" s="66">
        <f>ROUND('Калькулятор 12-48 мес'!$K$11/Лист1!$C$1,2)</f>
        <v>83.33</v>
      </c>
      <c r="D6" s="66">
        <f t="shared" si="0"/>
        <v>27.22</v>
      </c>
      <c r="E6" s="65">
        <f t="shared" si="5"/>
        <v>777.76000000000022</v>
      </c>
      <c r="F6" s="66">
        <f>ROUND('Калькулятор 12-48 мес'!$K$11/Лист1!$F$1,2)</f>
        <v>55.56</v>
      </c>
      <c r="G6" s="66">
        <f t="shared" si="1"/>
        <v>31.76</v>
      </c>
      <c r="H6" s="65">
        <f t="shared" si="6"/>
        <v>833.32000000000016</v>
      </c>
      <c r="I6" s="66">
        <f>ROUND('Калькулятор 12-48 мес'!$K$11/Лист1!$I$1,2)</f>
        <v>41.67</v>
      </c>
      <c r="J6" s="66">
        <f t="shared" si="2"/>
        <v>34.03</v>
      </c>
      <c r="K6" s="65">
        <f t="shared" si="7"/>
        <v>888.88000000000011</v>
      </c>
      <c r="L6" s="66">
        <f>ROUND('Калькулятор 12-48 мес'!$K$11/Лист1!$L$1,2)</f>
        <v>27.78</v>
      </c>
      <c r="M6" s="67">
        <f t="shared" si="3"/>
        <v>36.299999999999997</v>
      </c>
    </row>
    <row r="7" spans="1:13">
      <c r="A7">
        <v>6</v>
      </c>
      <c r="B7" s="65">
        <f t="shared" si="4"/>
        <v>583.3499999999998</v>
      </c>
      <c r="C7" s="66">
        <f>ROUND('Калькулятор 12-48 мес'!$K$11/Лист1!$C$1,2)</f>
        <v>83.33</v>
      </c>
      <c r="D7" s="66">
        <f t="shared" si="0"/>
        <v>23.82</v>
      </c>
      <c r="E7" s="65">
        <f t="shared" si="5"/>
        <v>722.20000000000027</v>
      </c>
      <c r="F7" s="66">
        <f>ROUND('Калькулятор 12-48 мес'!$K$11/Лист1!$F$1,2)</f>
        <v>55.56</v>
      </c>
      <c r="G7" s="66">
        <f t="shared" si="1"/>
        <v>29.49</v>
      </c>
      <c r="H7" s="65">
        <f t="shared" si="6"/>
        <v>791.6500000000002</v>
      </c>
      <c r="I7" s="66">
        <f>ROUND('Калькулятор 12-48 мес'!$K$11/Лист1!$I$1,2)</f>
        <v>41.67</v>
      </c>
      <c r="J7" s="66">
        <f t="shared" si="2"/>
        <v>32.33</v>
      </c>
      <c r="K7" s="65">
        <f t="shared" si="7"/>
        <v>861.10000000000014</v>
      </c>
      <c r="L7" s="66">
        <f>ROUND('Калькулятор 12-48 мес'!$K$11/Лист1!$L$1,2)</f>
        <v>27.78</v>
      </c>
      <c r="M7" s="67">
        <f t="shared" si="3"/>
        <v>35.159999999999997</v>
      </c>
    </row>
    <row r="8" spans="1:13">
      <c r="A8">
        <v>7</v>
      </c>
      <c r="B8" s="65">
        <f t="shared" si="4"/>
        <v>500.01999999999981</v>
      </c>
      <c r="C8" s="66">
        <f>ROUND('Калькулятор 12-48 мес'!$K$11/Лист1!$C$1,2)</f>
        <v>83.33</v>
      </c>
      <c r="D8" s="66">
        <f t="shared" si="0"/>
        <v>20.420000000000002</v>
      </c>
      <c r="E8" s="65">
        <f t="shared" si="5"/>
        <v>666.64000000000033</v>
      </c>
      <c r="F8" s="66">
        <f>ROUND('Калькулятор 12-48 мес'!$K$11/Лист1!$F$1,2)</f>
        <v>55.56</v>
      </c>
      <c r="G8" s="66">
        <f t="shared" si="1"/>
        <v>27.22</v>
      </c>
      <c r="H8" s="65">
        <f t="shared" si="6"/>
        <v>749.98000000000025</v>
      </c>
      <c r="I8" s="66">
        <f>ROUND('Калькулятор 12-48 мес'!$K$11/Лист1!$I$1,2)</f>
        <v>41.67</v>
      </c>
      <c r="J8" s="66">
        <f t="shared" si="2"/>
        <v>30.62</v>
      </c>
      <c r="K8" s="65">
        <f t="shared" si="7"/>
        <v>833.32000000000016</v>
      </c>
      <c r="L8" s="66">
        <f>ROUND('Калькулятор 12-48 мес'!$K$11/Лист1!$L$1,2)</f>
        <v>27.78</v>
      </c>
      <c r="M8" s="67">
        <f t="shared" si="3"/>
        <v>34.03</v>
      </c>
    </row>
    <row r="9" spans="1:13">
      <c r="A9">
        <v>8</v>
      </c>
      <c r="B9" s="65">
        <f t="shared" si="4"/>
        <v>416.68999999999983</v>
      </c>
      <c r="C9" s="66">
        <f>ROUND('Калькулятор 12-48 мес'!$K$11/Лист1!$C$1,2)</f>
        <v>83.33</v>
      </c>
      <c r="D9" s="66">
        <f t="shared" si="0"/>
        <v>17.010000000000002</v>
      </c>
      <c r="E9" s="65">
        <f t="shared" si="5"/>
        <v>611.08000000000038</v>
      </c>
      <c r="F9" s="66">
        <f>ROUND('Калькулятор 12-48 мес'!$K$11/Лист1!$F$1,2)</f>
        <v>55.56</v>
      </c>
      <c r="G9" s="66">
        <f t="shared" si="1"/>
        <v>24.95</v>
      </c>
      <c r="H9" s="65">
        <f t="shared" si="6"/>
        <v>708.31000000000029</v>
      </c>
      <c r="I9" s="66">
        <f>ROUND('Калькулятор 12-48 мес'!$K$11/Лист1!$I$1,2)</f>
        <v>41.67</v>
      </c>
      <c r="J9" s="66">
        <f t="shared" si="2"/>
        <v>28.92</v>
      </c>
      <c r="K9" s="65">
        <f t="shared" si="7"/>
        <v>805.54000000000019</v>
      </c>
      <c r="L9" s="66">
        <f>ROUND('Калькулятор 12-48 мес'!$K$11/Лист1!$L$1,2)</f>
        <v>27.78</v>
      </c>
      <c r="M9" s="67">
        <f t="shared" si="3"/>
        <v>32.89</v>
      </c>
    </row>
    <row r="10" spans="1:13">
      <c r="A10">
        <v>9</v>
      </c>
      <c r="B10" s="65">
        <f t="shared" si="4"/>
        <v>333.35999999999984</v>
      </c>
      <c r="C10" s="66">
        <f>ROUND('Калькулятор 12-48 мес'!$K$11/Лист1!$C$1,2)</f>
        <v>83.33</v>
      </c>
      <c r="D10" s="66">
        <f t="shared" si="0"/>
        <v>13.61</v>
      </c>
      <c r="E10" s="65">
        <f t="shared" si="5"/>
        <v>555.52000000000044</v>
      </c>
      <c r="F10" s="66">
        <f>ROUND('Калькулятор 12-48 мес'!$K$11/Лист1!$F$1,2)</f>
        <v>55.56</v>
      </c>
      <c r="G10" s="66">
        <f t="shared" si="1"/>
        <v>22.68</v>
      </c>
      <c r="H10" s="65">
        <f t="shared" si="6"/>
        <v>666.64000000000033</v>
      </c>
      <c r="I10" s="66">
        <f>ROUND('Калькулятор 12-48 мес'!$K$11/Лист1!$I$1,2)</f>
        <v>41.67</v>
      </c>
      <c r="J10" s="66">
        <f t="shared" si="2"/>
        <v>27.22</v>
      </c>
      <c r="K10" s="65">
        <f t="shared" si="7"/>
        <v>777.76000000000022</v>
      </c>
      <c r="L10" s="66">
        <f>ROUND('Калькулятор 12-48 мес'!$K$11/Лист1!$L$1,2)</f>
        <v>27.78</v>
      </c>
      <c r="M10" s="67">
        <f t="shared" si="3"/>
        <v>31.76</v>
      </c>
    </row>
    <row r="11" spans="1:13">
      <c r="A11">
        <v>10</v>
      </c>
      <c r="B11" s="65">
        <f t="shared" si="4"/>
        <v>250.02999999999986</v>
      </c>
      <c r="C11" s="66">
        <f>ROUND('Калькулятор 12-48 мес'!$K$11/Лист1!$C$1,2)</f>
        <v>83.33</v>
      </c>
      <c r="D11" s="66">
        <f t="shared" si="0"/>
        <v>10.210000000000001</v>
      </c>
      <c r="E11" s="65">
        <f t="shared" si="5"/>
        <v>499.96000000000043</v>
      </c>
      <c r="F11" s="66">
        <f>ROUND('Калькулятор 12-48 мес'!$K$11/Лист1!$F$1,2)</f>
        <v>55.56</v>
      </c>
      <c r="G11" s="66">
        <f t="shared" si="1"/>
        <v>20.420000000000002</v>
      </c>
      <c r="H11" s="65">
        <f t="shared" si="6"/>
        <v>624.97000000000037</v>
      </c>
      <c r="I11" s="66">
        <f>ROUND('Калькулятор 12-48 мес'!$K$11/Лист1!$I$1,2)</f>
        <v>41.67</v>
      </c>
      <c r="J11" s="66">
        <f t="shared" si="2"/>
        <v>25.52</v>
      </c>
      <c r="K11" s="65">
        <f t="shared" si="7"/>
        <v>749.98000000000025</v>
      </c>
      <c r="L11" s="66">
        <f>ROUND('Калькулятор 12-48 мес'!$K$11/Лист1!$L$1,2)</f>
        <v>27.78</v>
      </c>
      <c r="M11" s="67">
        <f t="shared" si="3"/>
        <v>30.62</v>
      </c>
    </row>
    <row r="12" spans="1:13">
      <c r="A12">
        <v>11</v>
      </c>
      <c r="B12" s="65">
        <f t="shared" si="4"/>
        <v>166.69999999999987</v>
      </c>
      <c r="C12" s="66">
        <f>ROUND('Калькулятор 12-48 мес'!$K$11/Лист1!$C$1,2)</f>
        <v>83.33</v>
      </c>
      <c r="D12" s="66">
        <f t="shared" si="0"/>
        <v>6.81</v>
      </c>
      <c r="E12" s="65">
        <f t="shared" si="5"/>
        <v>444.40000000000043</v>
      </c>
      <c r="F12" s="66">
        <f>ROUND('Калькулятор 12-48 мес'!$K$11/Лист1!$F$1,2)</f>
        <v>55.56</v>
      </c>
      <c r="G12" s="66">
        <f t="shared" si="1"/>
        <v>18.149999999999999</v>
      </c>
      <c r="H12" s="65">
        <f t="shared" si="6"/>
        <v>583.30000000000041</v>
      </c>
      <c r="I12" s="66">
        <f>ROUND('Калькулятор 12-48 мес'!$K$11/Лист1!$I$1,2)</f>
        <v>41.67</v>
      </c>
      <c r="J12" s="66">
        <f t="shared" si="2"/>
        <v>23.82</v>
      </c>
      <c r="K12" s="65">
        <f t="shared" si="7"/>
        <v>722.20000000000027</v>
      </c>
      <c r="L12" s="66">
        <f>ROUND('Калькулятор 12-48 мес'!$K$11/Лист1!$L$1,2)</f>
        <v>27.78</v>
      </c>
      <c r="M12" s="67">
        <f t="shared" si="3"/>
        <v>29.49</v>
      </c>
    </row>
    <row r="13" spans="1:13">
      <c r="A13">
        <v>12</v>
      </c>
      <c r="B13" s="68">
        <f t="shared" si="4"/>
        <v>83.369999999999877</v>
      </c>
      <c r="C13" s="69">
        <f>'Калькулятор 12-48 мес'!$K$11-SUM(C2:C12)</f>
        <v>83.369999999999891</v>
      </c>
      <c r="D13" s="69">
        <f t="shared" si="0"/>
        <v>3.4</v>
      </c>
      <c r="E13" s="65">
        <f t="shared" si="5"/>
        <v>388.84000000000043</v>
      </c>
      <c r="F13" s="66">
        <f>ROUND('Калькулятор 12-48 мес'!$K$11/Лист1!$F$1,2)</f>
        <v>55.56</v>
      </c>
      <c r="G13" s="66">
        <f t="shared" si="1"/>
        <v>15.88</v>
      </c>
      <c r="H13" s="65">
        <f t="shared" si="6"/>
        <v>541.63000000000045</v>
      </c>
      <c r="I13" s="66">
        <f>ROUND('Калькулятор 12-48 мес'!$K$11/Лист1!$I$1,2)</f>
        <v>41.67</v>
      </c>
      <c r="J13" s="66">
        <f t="shared" si="2"/>
        <v>22.12</v>
      </c>
      <c r="K13" s="65">
        <f t="shared" si="7"/>
        <v>694.4200000000003</v>
      </c>
      <c r="L13" s="66">
        <f>ROUND('Калькулятор 12-48 мес'!$K$11/Лист1!$L$1,2)</f>
        <v>27.78</v>
      </c>
      <c r="M13" s="67">
        <f t="shared" si="3"/>
        <v>28.36</v>
      </c>
    </row>
    <row r="14" spans="1:13">
      <c r="A14">
        <v>13</v>
      </c>
      <c r="E14" s="65">
        <f t="shared" si="5"/>
        <v>333.28000000000043</v>
      </c>
      <c r="F14" s="66">
        <f>ROUND('Калькулятор 12-48 мес'!$K$11/Лист1!$F$1,2)</f>
        <v>55.56</v>
      </c>
      <c r="G14" s="66">
        <f t="shared" si="1"/>
        <v>13.61</v>
      </c>
      <c r="H14" s="65">
        <f t="shared" si="6"/>
        <v>499.96000000000043</v>
      </c>
      <c r="I14" s="66">
        <f>ROUND('Калькулятор 12-48 мес'!$K$11/Лист1!$I$1,2)</f>
        <v>41.67</v>
      </c>
      <c r="J14" s="66">
        <f t="shared" si="2"/>
        <v>20.420000000000002</v>
      </c>
      <c r="K14" s="65">
        <f t="shared" si="7"/>
        <v>666.64000000000033</v>
      </c>
      <c r="L14" s="66">
        <f>ROUND('Калькулятор 12-48 мес'!$K$11/Лист1!$L$1,2)</f>
        <v>27.78</v>
      </c>
      <c r="M14" s="67">
        <f t="shared" si="3"/>
        <v>27.22</v>
      </c>
    </row>
    <row r="15" spans="1:13">
      <c r="A15">
        <v>14</v>
      </c>
      <c r="E15" s="65">
        <f t="shared" si="5"/>
        <v>277.72000000000043</v>
      </c>
      <c r="F15" s="66">
        <f>ROUND('Калькулятор 12-48 мес'!$K$11/Лист1!$F$1,2)</f>
        <v>55.56</v>
      </c>
      <c r="G15" s="66">
        <f t="shared" si="1"/>
        <v>11.34</v>
      </c>
      <c r="H15" s="65">
        <f t="shared" si="6"/>
        <v>458.29000000000042</v>
      </c>
      <c r="I15" s="66">
        <f>ROUND('Калькулятор 12-48 мес'!$K$11/Лист1!$I$1,2)</f>
        <v>41.67</v>
      </c>
      <c r="J15" s="66">
        <f t="shared" si="2"/>
        <v>18.71</v>
      </c>
      <c r="K15" s="65">
        <f t="shared" si="7"/>
        <v>638.86000000000035</v>
      </c>
      <c r="L15" s="66">
        <f>ROUND('Калькулятор 12-48 мес'!$K$11/Лист1!$L$1,2)</f>
        <v>27.78</v>
      </c>
      <c r="M15" s="67">
        <f t="shared" si="3"/>
        <v>26.09</v>
      </c>
    </row>
    <row r="16" spans="1:13">
      <c r="A16">
        <v>15</v>
      </c>
      <c r="E16" s="65">
        <f t="shared" si="5"/>
        <v>222.16000000000042</v>
      </c>
      <c r="F16" s="66">
        <f>ROUND('Калькулятор 12-48 мес'!$K$11/Лист1!$F$1,2)</f>
        <v>55.56</v>
      </c>
      <c r="G16" s="66">
        <f t="shared" si="1"/>
        <v>9.07</v>
      </c>
      <c r="H16" s="65">
        <f t="shared" si="6"/>
        <v>416.6200000000004</v>
      </c>
      <c r="I16" s="66">
        <f>ROUND('Калькулятор 12-48 мес'!$K$11/Лист1!$I$1,2)</f>
        <v>41.67</v>
      </c>
      <c r="J16" s="66">
        <f t="shared" si="2"/>
        <v>17.010000000000002</v>
      </c>
      <c r="K16" s="65">
        <f t="shared" si="7"/>
        <v>611.08000000000038</v>
      </c>
      <c r="L16" s="66">
        <f>ROUND('Калькулятор 12-48 мес'!$K$11/Лист1!$L$1,2)</f>
        <v>27.78</v>
      </c>
      <c r="M16" s="67">
        <f t="shared" si="3"/>
        <v>24.95</v>
      </c>
    </row>
    <row r="17" spans="1:13">
      <c r="A17">
        <v>16</v>
      </c>
      <c r="E17" s="65">
        <f t="shared" si="5"/>
        <v>166.60000000000042</v>
      </c>
      <c r="F17" s="66">
        <f>ROUND('Калькулятор 12-48 мес'!$K$11/Лист1!$F$1,2)</f>
        <v>55.56</v>
      </c>
      <c r="G17" s="66">
        <f t="shared" si="1"/>
        <v>6.8</v>
      </c>
      <c r="H17" s="65">
        <f t="shared" si="6"/>
        <v>374.95000000000039</v>
      </c>
      <c r="I17" s="66">
        <f>ROUND('Калькулятор 12-48 мес'!$K$11/Лист1!$I$1,2)</f>
        <v>41.67</v>
      </c>
      <c r="J17" s="66">
        <f t="shared" si="2"/>
        <v>15.31</v>
      </c>
      <c r="K17" s="65">
        <f t="shared" si="7"/>
        <v>583.30000000000041</v>
      </c>
      <c r="L17" s="66">
        <f>ROUND('Калькулятор 12-48 мес'!$K$11/Лист1!$L$1,2)</f>
        <v>27.78</v>
      </c>
      <c r="M17" s="67">
        <f t="shared" si="3"/>
        <v>23.82</v>
      </c>
    </row>
    <row r="18" spans="1:13">
      <c r="A18">
        <v>17</v>
      </c>
      <c r="E18" s="65">
        <f t="shared" si="5"/>
        <v>111.04000000000042</v>
      </c>
      <c r="F18" s="66">
        <f>ROUND('Калькулятор 12-48 мес'!$K$11/Лист1!$F$1,2)</f>
        <v>55.56</v>
      </c>
      <c r="G18" s="66">
        <f t="shared" si="1"/>
        <v>4.53</v>
      </c>
      <c r="H18" s="65">
        <f t="shared" si="6"/>
        <v>333.28000000000037</v>
      </c>
      <c r="I18" s="66">
        <f>ROUND('Калькулятор 12-48 мес'!$K$11/Лист1!$I$1,2)</f>
        <v>41.67</v>
      </c>
      <c r="J18" s="66">
        <f t="shared" si="2"/>
        <v>13.61</v>
      </c>
      <c r="K18" s="65">
        <f t="shared" si="7"/>
        <v>555.52000000000044</v>
      </c>
      <c r="L18" s="66">
        <f>ROUND('Калькулятор 12-48 мес'!$K$11/Лист1!$L$1,2)</f>
        <v>27.78</v>
      </c>
      <c r="M18" s="67">
        <f t="shared" si="3"/>
        <v>22.68</v>
      </c>
    </row>
    <row r="19" spans="1:13">
      <c r="A19">
        <v>18</v>
      </c>
      <c r="E19" s="68">
        <f t="shared" si="5"/>
        <v>55.480000000000416</v>
      </c>
      <c r="F19" s="69">
        <f>'Калькулятор 12-48 мес'!$K$11-SUM(F2:F18)</f>
        <v>55.480000000000246</v>
      </c>
      <c r="G19" s="69">
        <f t="shared" si="1"/>
        <v>2.27</v>
      </c>
      <c r="H19" s="65">
        <f t="shared" si="6"/>
        <v>291.61000000000035</v>
      </c>
      <c r="I19" s="66">
        <f>ROUND('Калькулятор 12-48 мес'!$K$11/Лист1!$I$1,2)</f>
        <v>41.67</v>
      </c>
      <c r="J19" s="66">
        <f t="shared" si="2"/>
        <v>11.91</v>
      </c>
      <c r="K19" s="65">
        <f t="shared" si="7"/>
        <v>527.74000000000046</v>
      </c>
      <c r="L19" s="66">
        <f>ROUND('Калькулятор 12-48 мес'!$K$11/Лист1!$L$1,2)</f>
        <v>27.78</v>
      </c>
      <c r="M19" s="67">
        <f t="shared" si="3"/>
        <v>21.55</v>
      </c>
    </row>
    <row r="20" spans="1:13">
      <c r="A20">
        <v>19</v>
      </c>
      <c r="H20" s="65">
        <f t="shared" si="6"/>
        <v>249.94000000000034</v>
      </c>
      <c r="I20" s="66">
        <f>ROUND('Калькулятор 12-48 мес'!$K$11/Лист1!$I$1,2)</f>
        <v>41.67</v>
      </c>
      <c r="J20" s="66">
        <f t="shared" si="2"/>
        <v>10.210000000000001</v>
      </c>
      <c r="K20" s="65">
        <f t="shared" si="7"/>
        <v>499.96000000000049</v>
      </c>
      <c r="L20" s="66">
        <f>ROUND('Калькулятор 12-48 мес'!$K$11/Лист1!$L$1,2)</f>
        <v>27.78</v>
      </c>
      <c r="M20" s="67">
        <f t="shared" si="3"/>
        <v>20.420000000000002</v>
      </c>
    </row>
    <row r="21" spans="1:13">
      <c r="A21">
        <v>20</v>
      </c>
      <c r="H21" s="65">
        <f t="shared" si="6"/>
        <v>208.27000000000032</v>
      </c>
      <c r="I21" s="66">
        <f>ROUND('Калькулятор 12-48 мес'!$K$11/Лист1!$I$1,2)</f>
        <v>41.67</v>
      </c>
      <c r="J21" s="66">
        <f t="shared" si="2"/>
        <v>8.5</v>
      </c>
      <c r="K21" s="65">
        <f t="shared" si="7"/>
        <v>472.18000000000052</v>
      </c>
      <c r="L21" s="66">
        <f>ROUND('Калькулятор 12-48 мес'!$K$11/Лист1!$L$1,2)</f>
        <v>27.78</v>
      </c>
      <c r="M21" s="67">
        <f t="shared" si="3"/>
        <v>19.28</v>
      </c>
    </row>
    <row r="22" spans="1:13">
      <c r="A22">
        <v>21</v>
      </c>
      <c r="H22" s="65">
        <f t="shared" si="6"/>
        <v>166.60000000000031</v>
      </c>
      <c r="I22" s="66">
        <f>ROUND('Калькулятор 12-48 мес'!$K$11/Лист1!$I$1,2)</f>
        <v>41.67</v>
      </c>
      <c r="J22" s="66">
        <f t="shared" si="2"/>
        <v>6.8</v>
      </c>
      <c r="K22" s="65">
        <f t="shared" si="7"/>
        <v>444.40000000000055</v>
      </c>
      <c r="L22" s="66">
        <f>ROUND('Калькулятор 12-48 мес'!$K$11/Лист1!$L$1,2)</f>
        <v>27.78</v>
      </c>
      <c r="M22" s="67">
        <f t="shared" si="3"/>
        <v>18.149999999999999</v>
      </c>
    </row>
    <row r="23" spans="1:13">
      <c r="A23">
        <v>22</v>
      </c>
      <c r="H23" s="65">
        <f t="shared" si="6"/>
        <v>124.93000000000031</v>
      </c>
      <c r="I23" s="66">
        <f>ROUND('Калькулятор 12-48 мес'!$K$11/Лист1!$I$1,2)</f>
        <v>41.67</v>
      </c>
      <c r="J23" s="66">
        <f t="shared" si="2"/>
        <v>5.0999999999999996</v>
      </c>
      <c r="K23" s="65">
        <f t="shared" si="7"/>
        <v>416.62000000000057</v>
      </c>
      <c r="L23" s="66">
        <f>ROUND('Калькулятор 12-48 мес'!$K$11/Лист1!$L$1,2)</f>
        <v>27.78</v>
      </c>
      <c r="M23" s="67">
        <f t="shared" si="3"/>
        <v>17.010000000000002</v>
      </c>
    </row>
    <row r="24" spans="1:13">
      <c r="A24">
        <v>23</v>
      </c>
      <c r="H24" s="65">
        <f t="shared" si="6"/>
        <v>83.260000000000304</v>
      </c>
      <c r="I24" s="66">
        <f>ROUND('Калькулятор 12-48 мес'!$K$11/Лист1!$I$1,2)</f>
        <v>41.67</v>
      </c>
      <c r="J24" s="66">
        <f t="shared" si="2"/>
        <v>3.4</v>
      </c>
      <c r="K24" s="65">
        <f t="shared" si="7"/>
        <v>388.8400000000006</v>
      </c>
      <c r="L24" s="66">
        <f>ROUND('Калькулятор 12-48 мес'!$K$11/Лист1!$L$1,2)</f>
        <v>27.78</v>
      </c>
      <c r="M24" s="67">
        <f t="shared" si="3"/>
        <v>15.88</v>
      </c>
    </row>
    <row r="25" spans="1:13">
      <c r="A25">
        <v>24</v>
      </c>
      <c r="H25" s="68">
        <f t="shared" si="6"/>
        <v>41.590000000000302</v>
      </c>
      <c r="I25" s="69">
        <f>'Калькулятор 12-48 мес'!$K$11-SUM(I2:I24)</f>
        <v>41.590000000000259</v>
      </c>
      <c r="J25" s="69">
        <f t="shared" si="2"/>
        <v>1.7</v>
      </c>
      <c r="K25" s="65">
        <f t="shared" si="7"/>
        <v>361.06000000000063</v>
      </c>
      <c r="L25" s="66">
        <f>ROUND('Калькулятор 12-48 мес'!$K$11/Лист1!$L$1,2)</f>
        <v>27.78</v>
      </c>
      <c r="M25" s="67">
        <f t="shared" si="3"/>
        <v>14.74</v>
      </c>
    </row>
    <row r="26" spans="1:13">
      <c r="A26">
        <v>25</v>
      </c>
      <c r="K26" s="65">
        <f t="shared" si="7"/>
        <v>333.28000000000065</v>
      </c>
      <c r="L26" s="66">
        <f>ROUND('Калькулятор 12-48 мес'!$K$11/Лист1!$L$1,2)</f>
        <v>27.78</v>
      </c>
      <c r="M26" s="67">
        <f t="shared" si="3"/>
        <v>13.61</v>
      </c>
    </row>
    <row r="27" spans="1:13">
      <c r="A27">
        <v>26</v>
      </c>
      <c r="K27" s="65">
        <f t="shared" si="7"/>
        <v>305.50000000000068</v>
      </c>
      <c r="L27" s="66">
        <f>ROUND('Калькулятор 12-48 мес'!$K$11/Лист1!$L$1,2)</f>
        <v>27.78</v>
      </c>
      <c r="M27" s="67">
        <f t="shared" si="3"/>
        <v>12.47</v>
      </c>
    </row>
    <row r="28" spans="1:13">
      <c r="A28">
        <v>27</v>
      </c>
      <c r="K28" s="65">
        <f t="shared" si="7"/>
        <v>277.72000000000071</v>
      </c>
      <c r="L28" s="66">
        <f>ROUND('Калькулятор 12-48 мес'!$K$11/Лист1!$L$1,2)</f>
        <v>27.78</v>
      </c>
      <c r="M28" s="67">
        <f t="shared" si="3"/>
        <v>11.34</v>
      </c>
    </row>
    <row r="29" spans="1:13">
      <c r="A29">
        <v>28</v>
      </c>
      <c r="K29" s="65">
        <f t="shared" si="7"/>
        <v>249.94000000000071</v>
      </c>
      <c r="L29" s="66">
        <f>ROUND('Калькулятор 12-48 мес'!$K$11/Лист1!$L$1,2)</f>
        <v>27.78</v>
      </c>
      <c r="M29" s="67">
        <f t="shared" si="3"/>
        <v>10.210000000000001</v>
      </c>
    </row>
    <row r="30" spans="1:13">
      <c r="A30">
        <v>29</v>
      </c>
      <c r="K30" s="65">
        <f t="shared" si="7"/>
        <v>222.16000000000071</v>
      </c>
      <c r="L30" s="66">
        <f>ROUND('Калькулятор 12-48 мес'!$K$11/Лист1!$L$1,2)</f>
        <v>27.78</v>
      </c>
      <c r="M30" s="67">
        <f t="shared" si="3"/>
        <v>9.07</v>
      </c>
    </row>
    <row r="31" spans="1:13">
      <c r="A31">
        <v>30</v>
      </c>
      <c r="K31" s="65">
        <f t="shared" si="7"/>
        <v>194.38000000000071</v>
      </c>
      <c r="L31" s="66">
        <f>ROUND('Калькулятор 12-48 мес'!$K$11/Лист1!$L$1,2)</f>
        <v>27.78</v>
      </c>
      <c r="M31" s="67">
        <f t="shared" si="3"/>
        <v>7.94</v>
      </c>
    </row>
    <row r="32" spans="1:13">
      <c r="A32">
        <v>31</v>
      </c>
      <c r="K32" s="65">
        <f t="shared" si="7"/>
        <v>166.6000000000007</v>
      </c>
      <c r="L32" s="66">
        <f>ROUND('Калькулятор 12-48 мес'!$K$11/Лист1!$L$1,2)</f>
        <v>27.78</v>
      </c>
      <c r="M32" s="67">
        <f t="shared" si="3"/>
        <v>6.8</v>
      </c>
    </row>
    <row r="33" spans="1:13">
      <c r="A33">
        <v>32</v>
      </c>
      <c r="K33" s="65">
        <f t="shared" si="7"/>
        <v>138.8200000000007</v>
      </c>
      <c r="L33" s="66">
        <f>ROUND('Калькулятор 12-48 мес'!$K$11/Лист1!$L$1,2)</f>
        <v>27.78</v>
      </c>
      <c r="M33" s="67">
        <f t="shared" si="3"/>
        <v>5.67</v>
      </c>
    </row>
    <row r="34" spans="1:13">
      <c r="A34">
        <v>33</v>
      </c>
      <c r="K34" s="65">
        <f t="shared" si="7"/>
        <v>111.0400000000007</v>
      </c>
      <c r="L34" s="66">
        <f>ROUND('Калькулятор 12-48 мес'!$K$11/Лист1!$L$1,2)</f>
        <v>27.78</v>
      </c>
      <c r="M34" s="67">
        <f t="shared" si="3"/>
        <v>4.53</v>
      </c>
    </row>
    <row r="35" spans="1:13">
      <c r="A35">
        <v>34</v>
      </c>
      <c r="K35" s="65">
        <f t="shared" si="7"/>
        <v>83.260000000000701</v>
      </c>
      <c r="L35" s="66">
        <f>ROUND('Калькулятор 12-48 мес'!$K$11/Лист1!$L$1,2)</f>
        <v>27.78</v>
      </c>
      <c r="M35" s="67">
        <f t="shared" si="3"/>
        <v>3.4</v>
      </c>
    </row>
    <row r="36" spans="1:13">
      <c r="A36">
        <v>35</v>
      </c>
      <c r="K36" s="65">
        <f t="shared" si="7"/>
        <v>55.4800000000007</v>
      </c>
      <c r="L36" s="66">
        <f>ROUND('Калькулятор 12-48 мес'!$K$11/Лист1!$L$1,2)</f>
        <v>27.78</v>
      </c>
      <c r="M36" s="67">
        <f t="shared" si="3"/>
        <v>2.27</v>
      </c>
    </row>
    <row r="37" spans="1:13">
      <c r="A37">
        <v>36</v>
      </c>
      <c r="K37" s="68">
        <f t="shared" si="7"/>
        <v>27.700000000000699</v>
      </c>
      <c r="L37" s="69">
        <f>'Калькулятор 12-48 мес'!$K$11-SUM(L2:L36)</f>
        <v>27.700000000000614</v>
      </c>
      <c r="M37" s="70">
        <f t="shared" si="3"/>
        <v>1.1299999999999999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64"/>
  <sheetViews>
    <sheetView workbookViewId="0">
      <selection activeCell="C17" sqref="C17"/>
    </sheetView>
  </sheetViews>
  <sheetFormatPr defaultColWidth="9.140625" defaultRowHeight="15.75"/>
  <cols>
    <col min="1" max="1" width="10" style="125" customWidth="1"/>
    <col min="2" max="2" width="13.5703125" style="125" customWidth="1"/>
    <col min="3" max="3" width="14" style="125" customWidth="1"/>
    <col min="4" max="4" width="13.85546875" style="125" customWidth="1"/>
    <col min="5" max="5" width="16.42578125" style="125" customWidth="1"/>
    <col min="6" max="6" width="16.85546875" style="125" customWidth="1"/>
    <col min="7" max="7" width="13.42578125" style="125" customWidth="1"/>
    <col min="8" max="16384" width="9.140625" style="125"/>
  </cols>
  <sheetData>
    <row r="1" spans="1:7">
      <c r="E1" s="126"/>
    </row>
    <row r="3" spans="1:7">
      <c r="A3" s="288" t="s">
        <v>32</v>
      </c>
      <c r="B3" s="288"/>
      <c r="C3" s="288"/>
      <c r="D3" s="288"/>
      <c r="E3" s="288"/>
      <c r="F3" s="288"/>
      <c r="G3" s="288"/>
    </row>
    <row r="5" spans="1:7">
      <c r="A5" s="126"/>
      <c r="B5" s="126"/>
      <c r="F5" s="127"/>
    </row>
    <row r="7" spans="1:7">
      <c r="A7" s="128" t="s">
        <v>190</v>
      </c>
      <c r="B7" s="128"/>
      <c r="C7" s="128"/>
      <c r="D7" s="128"/>
      <c r="E7" s="129">
        <f>'36 мес (аннуитет)'!F5</f>
        <v>1000</v>
      </c>
      <c r="G7" s="128"/>
    </row>
    <row r="8" spans="1:7">
      <c r="A8" s="128" t="s">
        <v>184</v>
      </c>
      <c r="B8" s="128"/>
      <c r="C8" s="128"/>
      <c r="D8" s="128"/>
      <c r="E8" s="130">
        <f>E7*20/120</f>
        <v>166.66666666666666</v>
      </c>
      <c r="G8" s="131"/>
    </row>
    <row r="9" spans="1:7">
      <c r="A9" s="128" t="s">
        <v>70</v>
      </c>
      <c r="B9" s="128"/>
      <c r="C9" s="128"/>
      <c r="D9" s="128"/>
      <c r="E9" s="132">
        <f>'36 мес (аннуитет)'!F6</f>
        <v>0</v>
      </c>
      <c r="G9" s="131"/>
    </row>
    <row r="10" spans="1:7">
      <c r="A10" s="128" t="s">
        <v>183</v>
      </c>
      <c r="B10" s="128"/>
      <c r="C10" s="128"/>
      <c r="D10" s="128"/>
      <c r="E10" s="133">
        <f>'36 мес (аннуитет)'!G6</f>
        <v>0</v>
      </c>
      <c r="G10" s="128"/>
    </row>
    <row r="11" spans="1:7">
      <c r="A11" s="128" t="s">
        <v>35</v>
      </c>
      <c r="B11" s="128"/>
      <c r="C11" s="128"/>
      <c r="D11" s="128"/>
      <c r="E11" s="134">
        <f>'36 мес (аннуитет)'!F7</f>
        <v>36</v>
      </c>
      <c r="G11" s="128"/>
    </row>
    <row r="12" spans="1:7">
      <c r="A12" s="128" t="s">
        <v>82</v>
      </c>
      <c r="B12" s="128"/>
      <c r="C12" s="128"/>
      <c r="D12" s="128"/>
      <c r="E12" s="134" t="s">
        <v>202</v>
      </c>
      <c r="G12" s="128"/>
    </row>
    <row r="13" spans="1:7">
      <c r="A13" s="135"/>
      <c r="B13" s="135"/>
      <c r="C13" s="135"/>
      <c r="D13" s="135"/>
      <c r="E13" s="134"/>
      <c r="F13" s="134"/>
      <c r="G13" s="134"/>
    </row>
    <row r="14" spans="1:7" ht="71.25">
      <c r="A14" s="136" t="s">
        <v>185</v>
      </c>
      <c r="B14" s="137" t="s">
        <v>205</v>
      </c>
      <c r="C14" s="138" t="s">
        <v>206</v>
      </c>
      <c r="D14" s="138" t="s">
        <v>109</v>
      </c>
      <c r="E14" s="138" t="s">
        <v>104</v>
      </c>
      <c r="F14" s="138" t="s">
        <v>186</v>
      </c>
      <c r="G14" s="137" t="s">
        <v>108</v>
      </c>
    </row>
    <row r="15" spans="1:7">
      <c r="A15" s="139" t="s">
        <v>121</v>
      </c>
      <c r="B15" s="140" t="s">
        <v>114</v>
      </c>
      <c r="C15" s="129">
        <f>E10</f>
        <v>0</v>
      </c>
      <c r="D15" s="141">
        <f>C15*20/120</f>
        <v>0</v>
      </c>
      <c r="E15" s="129"/>
      <c r="F15" s="141"/>
      <c r="G15" s="142"/>
    </row>
    <row r="16" spans="1:7">
      <c r="A16" s="134">
        <v>1</v>
      </c>
      <c r="B16" s="143">
        <f>EOMONTH(B15,0)+DAY(B15)</f>
        <v>43409</v>
      </c>
      <c r="C16" s="129">
        <f>'36 мес (аннуитет)'!C21</f>
        <v>12.665463637171939</v>
      </c>
      <c r="D16" s="141">
        <f>'36 мес (аннуитет)'!I21</f>
        <v>2.1109106061953233</v>
      </c>
      <c r="E16" s="129">
        <f>'36 мес (аннуитет)'!D21</f>
        <v>40.833333333333336</v>
      </c>
      <c r="F16" s="141">
        <f>'36 мес (аннуитет)'!E21</f>
        <v>0</v>
      </c>
      <c r="G16" s="142">
        <f>'36 мес (аннуитет)'!H21</f>
        <v>53.498796970505275</v>
      </c>
    </row>
    <row r="17" spans="1:7">
      <c r="A17" s="134">
        <v>2</v>
      </c>
      <c r="B17" s="143">
        <f t="shared" ref="B17:B51" si="0">EOMONTH(B16,0)+DAY(B16)</f>
        <v>43439</v>
      </c>
      <c r="C17" s="129">
        <f>'36 мес (аннуитет)'!C22</f>
        <v>13.182636735689798</v>
      </c>
      <c r="D17" s="141">
        <f>'36 мес (аннуитет)'!I22</f>
        <v>2.1971061226149664</v>
      </c>
      <c r="E17" s="129">
        <f>'36 мес (аннуитет)'!D22</f>
        <v>40.316160234815477</v>
      </c>
      <c r="F17" s="141">
        <f>'36 мес (аннуитет)'!E22</f>
        <v>0</v>
      </c>
      <c r="G17" s="142">
        <f>'36 мес (аннуитет)'!H22</f>
        <v>53.498796970505275</v>
      </c>
    </row>
    <row r="18" spans="1:7">
      <c r="A18" s="134">
        <v>3</v>
      </c>
      <c r="B18" s="143">
        <f t="shared" si="0"/>
        <v>43470</v>
      </c>
      <c r="C18" s="129">
        <f>'36 мес (аннуитет)'!C23</f>
        <v>13.720927735730463</v>
      </c>
      <c r="D18" s="141">
        <f>'36 мес (аннуитет)'!I23</f>
        <v>2.2868212892884108</v>
      </c>
      <c r="E18" s="129">
        <f>'36 мес (аннуитет)'!D23</f>
        <v>39.777869234774812</v>
      </c>
      <c r="F18" s="141">
        <f>'36 мес (аннуитет)'!E23</f>
        <v>0</v>
      </c>
      <c r="G18" s="142">
        <f>'36 мес (аннуитет)'!H23</f>
        <v>53.498796970505275</v>
      </c>
    </row>
    <row r="19" spans="1:7">
      <c r="A19" s="134">
        <v>4</v>
      </c>
      <c r="B19" s="143">
        <f t="shared" si="0"/>
        <v>43501</v>
      </c>
      <c r="C19" s="129">
        <f>'36 мес (аннуитет)'!C24</f>
        <v>14.281198951606122</v>
      </c>
      <c r="D19" s="141">
        <f>'36 мес (аннуитет)'!I24</f>
        <v>2.3801998252676868</v>
      </c>
      <c r="E19" s="129">
        <f>'36 мес (аннуитет)'!D24</f>
        <v>39.217598018899153</v>
      </c>
      <c r="F19" s="141">
        <f>'36 мес (аннуитет)'!E24</f>
        <v>0</v>
      </c>
      <c r="G19" s="142">
        <f>'36 мес (аннуитет)'!H24</f>
        <v>53.498796970505275</v>
      </c>
    </row>
    <row r="20" spans="1:7">
      <c r="A20" s="134">
        <v>5</v>
      </c>
      <c r="B20" s="143">
        <f t="shared" si="0"/>
        <v>43529</v>
      </c>
      <c r="C20" s="129">
        <f>'36 мес (аннуитет)'!C25</f>
        <v>14.864347908796709</v>
      </c>
      <c r="D20" s="141">
        <f>'36 мес (аннуитет)'!I25</f>
        <v>2.4773913181327845</v>
      </c>
      <c r="E20" s="129">
        <f>'36 мес (аннуитет)'!D25</f>
        <v>38.634449061708565</v>
      </c>
      <c r="F20" s="141">
        <f>'36 мес (аннуитет)'!E25</f>
        <v>0</v>
      </c>
      <c r="G20" s="142">
        <f>'36 мес (аннуитет)'!H25</f>
        <v>53.498796970505275</v>
      </c>
    </row>
    <row r="21" spans="1:7">
      <c r="A21" s="134">
        <v>6</v>
      </c>
      <c r="B21" s="143">
        <f t="shared" si="0"/>
        <v>43560</v>
      </c>
      <c r="C21" s="129">
        <f>'36 мес (аннуитет)'!C26</f>
        <v>15.471308781739239</v>
      </c>
      <c r="D21" s="141">
        <f>'36 мес (аннуитет)'!I26</f>
        <v>2.5785514636232065</v>
      </c>
      <c r="E21" s="129">
        <f>'36 мес (аннуитет)'!D26</f>
        <v>38.027488188766036</v>
      </c>
      <c r="F21" s="141">
        <f>'36 мес (аннуитет)'!E26</f>
        <v>0</v>
      </c>
      <c r="G21" s="142">
        <f>'36 мес (аннуитет)'!H26</f>
        <v>53.498796970505275</v>
      </c>
    </row>
    <row r="22" spans="1:7">
      <c r="A22" s="134">
        <v>7</v>
      </c>
      <c r="B22" s="143">
        <f t="shared" si="0"/>
        <v>43590</v>
      </c>
      <c r="C22" s="129">
        <f>'36 мес (аннуитет)'!C27</f>
        <v>16.103053890326926</v>
      </c>
      <c r="D22" s="141">
        <f>'36 мес (аннуитет)'!I27</f>
        <v>2.6838423150544872</v>
      </c>
      <c r="E22" s="129">
        <f>'36 мес (аннуитет)'!D27</f>
        <v>37.395743080178349</v>
      </c>
      <c r="F22" s="141">
        <f>'36 мес (аннуитет)'!E27</f>
        <v>0</v>
      </c>
      <c r="G22" s="142">
        <f>'36 мес (аннуитет)'!H27</f>
        <v>53.498796970505275</v>
      </c>
    </row>
    <row r="23" spans="1:7">
      <c r="A23" s="134">
        <v>8</v>
      </c>
      <c r="B23" s="143">
        <f t="shared" si="0"/>
        <v>43621</v>
      </c>
      <c r="C23" s="129">
        <f>'36 мес (аннуитет)'!C28</f>
        <v>16.760595257515277</v>
      </c>
      <c r="D23" s="141">
        <f>'36 мес (аннуитет)'!I28</f>
        <v>2.7934325429192128</v>
      </c>
      <c r="E23" s="129">
        <f>'36 мес (аннуитет)'!D28</f>
        <v>36.738201712989998</v>
      </c>
      <c r="F23" s="141">
        <f>'36 мес (аннуитет)'!E28</f>
        <v>0</v>
      </c>
      <c r="G23" s="142">
        <f>'36 мес (аннуитет)'!H28</f>
        <v>53.498796970505275</v>
      </c>
    </row>
    <row r="24" spans="1:7">
      <c r="A24" s="134">
        <v>9</v>
      </c>
      <c r="B24" s="143">
        <f t="shared" si="0"/>
        <v>43651</v>
      </c>
      <c r="C24" s="129">
        <f>'36 мес (аннуитет)'!C29</f>
        <v>17.444986230530489</v>
      </c>
      <c r="D24" s="141">
        <f>'36 мес (аннуитет)'!I29</f>
        <v>2.907497705088415</v>
      </c>
      <c r="E24" s="129">
        <f>'36 мес (аннуитет)'!D29</f>
        <v>36.053810739974786</v>
      </c>
      <c r="F24" s="141">
        <f>'36 мес (аннуитет)'!E29</f>
        <v>0</v>
      </c>
      <c r="G24" s="142">
        <f>'36 мес (аннуитет)'!H29</f>
        <v>53.498796970505275</v>
      </c>
    </row>
    <row r="25" spans="1:7">
      <c r="A25" s="134">
        <v>10</v>
      </c>
      <c r="B25" s="143">
        <f t="shared" si="0"/>
        <v>43682</v>
      </c>
      <c r="C25" s="129">
        <f>'36 мес (аннуитет)'!C30</f>
        <v>18.157323168277145</v>
      </c>
      <c r="D25" s="141">
        <f>'36 мес (аннуитет)'!I30</f>
        <v>3.0262205280461907</v>
      </c>
      <c r="E25" s="129">
        <f>'36 мес (аннуитет)'!D30</f>
        <v>35.34147380222813</v>
      </c>
      <c r="F25" s="141">
        <f>'36 мес (аннуитет)'!E30</f>
        <v>0</v>
      </c>
      <c r="G25" s="142">
        <f>'36 мес (аннуитет)'!H30</f>
        <v>53.498796970505275</v>
      </c>
    </row>
    <row r="26" spans="1:7">
      <c r="A26" s="134">
        <v>11</v>
      </c>
      <c r="B26" s="143">
        <f t="shared" si="0"/>
        <v>43713</v>
      </c>
      <c r="C26" s="129">
        <f>'36 мес (аннуитет)'!C31</f>
        <v>18.898747197648461</v>
      </c>
      <c r="D26" s="141">
        <f>'36 мес (аннуитет)'!I31</f>
        <v>3.1497911996080767</v>
      </c>
      <c r="E26" s="129">
        <f>'36 мес (аннуитет)'!D31</f>
        <v>34.600049772856813</v>
      </c>
      <c r="F26" s="141">
        <f>'36 мес (аннуитет)'!E31</f>
        <v>0</v>
      </c>
      <c r="G26" s="142">
        <f>'36 мес (аннуитет)'!H31</f>
        <v>53.498796970505275</v>
      </c>
    </row>
    <row r="27" spans="1:7">
      <c r="A27" s="134">
        <v>12</v>
      </c>
      <c r="B27" s="143">
        <f t="shared" si="0"/>
        <v>43743</v>
      </c>
      <c r="C27" s="129">
        <f>'36 мес (аннуитет)'!C32</f>
        <v>19.670446041552445</v>
      </c>
      <c r="D27" s="141">
        <f>'36 мес (аннуитет)'!I32</f>
        <v>3.2784076735920746</v>
      </c>
      <c r="E27" s="129">
        <f>'36 мес (аннуитет)'!D32</f>
        <v>33.82835092895283</v>
      </c>
      <c r="F27" s="141">
        <f>'36 мес (аннуитет)'!E32</f>
        <v>0</v>
      </c>
      <c r="G27" s="142">
        <f>'36 мес (аннуитет)'!H32</f>
        <v>53.498796970505275</v>
      </c>
    </row>
    <row r="28" spans="1:7">
      <c r="A28" s="134">
        <v>13</v>
      </c>
      <c r="B28" s="143">
        <f t="shared" si="0"/>
        <v>43774</v>
      </c>
      <c r="C28" s="129">
        <f>'36 мес (аннуитет)'!C33</f>
        <v>20.473655921582498</v>
      </c>
      <c r="D28" s="141">
        <f>'36 мес (аннуитет)'!I33</f>
        <v>3.4122759869304162</v>
      </c>
      <c r="E28" s="129">
        <f>'36 мес (аннуитет)'!D33</f>
        <v>33.025141048922777</v>
      </c>
      <c r="F28" s="141">
        <f>'36 мес (аннуитет)'!E33</f>
        <v>0</v>
      </c>
      <c r="G28" s="142">
        <f>'36 мес (аннуитет)'!H33</f>
        <v>53.498796970505275</v>
      </c>
    </row>
    <row r="29" spans="1:7">
      <c r="A29" s="134">
        <v>14</v>
      </c>
      <c r="B29" s="143">
        <f t="shared" si="0"/>
        <v>43804</v>
      </c>
      <c r="C29" s="129">
        <f>'36 мес (аннуитет)'!C34</f>
        <v>21.309663538380448</v>
      </c>
      <c r="D29" s="141">
        <f>'36 мес (аннуитет)'!I34</f>
        <v>3.5516105897300747</v>
      </c>
      <c r="E29" s="129">
        <f>'36 мес (аннуитет)'!D34</f>
        <v>32.189133432124827</v>
      </c>
      <c r="F29" s="141">
        <f>'36 мес (аннуитет)'!E34</f>
        <v>0</v>
      </c>
      <c r="G29" s="142">
        <f>'36 мес (аннуитет)'!H34</f>
        <v>53.498796970505275</v>
      </c>
    </row>
    <row r="30" spans="1:7">
      <c r="A30" s="134">
        <v>15</v>
      </c>
      <c r="B30" s="143">
        <f t="shared" si="0"/>
        <v>43835</v>
      </c>
      <c r="C30" s="129">
        <f>'36 мес (аннуитет)'!C35</f>
        <v>22.17980813286432</v>
      </c>
      <c r="D30" s="141">
        <f>'36 мес (аннуитет)'!I35</f>
        <v>3.69663468881072</v>
      </c>
      <c r="E30" s="129">
        <f>'36 мес (аннуитет)'!D35</f>
        <v>31.318988837640955</v>
      </c>
      <c r="F30" s="141">
        <f>'36 мес (аннуитет)'!E35</f>
        <v>0</v>
      </c>
      <c r="G30" s="142">
        <f>'36 мес (аннуитет)'!H35</f>
        <v>53.498796970505275</v>
      </c>
    </row>
    <row r="31" spans="1:7">
      <c r="A31" s="134">
        <v>16</v>
      </c>
      <c r="B31" s="143">
        <f t="shared" si="0"/>
        <v>43866</v>
      </c>
      <c r="C31" s="129">
        <f>'36 мес (аннуитет)'!C36</f>
        <v>23.085483631622946</v>
      </c>
      <c r="D31" s="141">
        <f>'36 мес (аннуитет)'!I36</f>
        <v>3.8475806052704913</v>
      </c>
      <c r="E31" s="129">
        <f>'36 мес (аннуитет)'!D36</f>
        <v>30.413313338882329</v>
      </c>
      <c r="F31" s="141">
        <f>'36 мес (аннуитет)'!E36</f>
        <v>0</v>
      </c>
      <c r="G31" s="142">
        <f>'36 мес (аннуитет)'!H36</f>
        <v>53.498796970505275</v>
      </c>
    </row>
    <row r="32" spans="1:7">
      <c r="A32" s="134">
        <v>17</v>
      </c>
      <c r="B32" s="143">
        <f t="shared" si="0"/>
        <v>43895</v>
      </c>
      <c r="C32" s="129">
        <f>'36 мес (аннуитет)'!C37</f>
        <v>24.028140879914222</v>
      </c>
      <c r="D32" s="141">
        <f>'36 мес (аннуитет)'!I37</f>
        <v>4.0046901466523703</v>
      </c>
      <c r="E32" s="129">
        <f>'36 мес (аннуитет)'!D37</f>
        <v>29.470656090591053</v>
      </c>
      <c r="F32" s="141">
        <f>'36 мес (аннуитет)'!E37</f>
        <v>0</v>
      </c>
      <c r="G32" s="142">
        <f>'36 мес (аннуитет)'!H37</f>
        <v>53.498796970505275</v>
      </c>
    </row>
    <row r="33" spans="1:7">
      <c r="A33" s="134">
        <v>18</v>
      </c>
      <c r="B33" s="143">
        <f t="shared" si="0"/>
        <v>43926</v>
      </c>
      <c r="C33" s="129">
        <f>'36 мес (аннуитет)'!C38</f>
        <v>25.009289965844051</v>
      </c>
      <c r="D33" s="141">
        <f>'36 мес (аннуитет)'!I38</f>
        <v>4.1682149943073421</v>
      </c>
      <c r="E33" s="129">
        <f>'36 мес (аннуитет)'!D38</f>
        <v>28.489507004661224</v>
      </c>
      <c r="F33" s="141">
        <f>'36 мес (аннуитет)'!E38</f>
        <v>0</v>
      </c>
      <c r="G33" s="142">
        <f>'36 мес (аннуитет)'!H38</f>
        <v>53.498796970505275</v>
      </c>
    </row>
    <row r="34" spans="1:7">
      <c r="A34" s="134">
        <v>19</v>
      </c>
      <c r="B34" s="143">
        <f t="shared" si="0"/>
        <v>43956</v>
      </c>
      <c r="C34" s="129">
        <f>'36 мес (аннуитет)'!C39</f>
        <v>26.030502639449345</v>
      </c>
      <c r="D34" s="141">
        <f>'36 мес (аннуитет)'!I39</f>
        <v>4.3384171065748909</v>
      </c>
      <c r="E34" s="129">
        <f>'36 мес (аннуитет)'!D39</f>
        <v>27.46829433105593</v>
      </c>
      <c r="F34" s="141">
        <f>'36 мес (аннуитет)'!E39</f>
        <v>0</v>
      </c>
      <c r="G34" s="142">
        <f>'36 мес (аннуитет)'!H39</f>
        <v>53.498796970505275</v>
      </c>
    </row>
    <row r="35" spans="1:7">
      <c r="A35" s="134">
        <v>20</v>
      </c>
      <c r="B35" s="143">
        <f t="shared" si="0"/>
        <v>43987</v>
      </c>
      <c r="C35" s="129">
        <f>'36 мес (аннуитет)'!C40</f>
        <v>27.093414830560189</v>
      </c>
      <c r="D35" s="141">
        <f>'36 мес (аннуитет)'!I40</f>
        <v>4.5155691384266978</v>
      </c>
      <c r="E35" s="129">
        <f>'36 мес (аннуитет)'!D40</f>
        <v>26.405382139945086</v>
      </c>
      <c r="F35" s="141">
        <f>'36 мес (аннуитет)'!E40</f>
        <v>0</v>
      </c>
      <c r="G35" s="142">
        <f>'36 мес (аннуитет)'!H40</f>
        <v>53.498796970505275</v>
      </c>
    </row>
    <row r="36" spans="1:7">
      <c r="A36" s="134">
        <v>21</v>
      </c>
      <c r="B36" s="143">
        <f t="shared" si="0"/>
        <v>44017</v>
      </c>
      <c r="C36" s="129">
        <f>'36 мес (аннуитет)'!C41</f>
        <v>28.199729269474734</v>
      </c>
      <c r="D36" s="141">
        <f>'36 мес (аннуитет)'!I41</f>
        <v>4.6999548782457889</v>
      </c>
      <c r="E36" s="129">
        <f>'36 мес (аннуитет)'!D41</f>
        <v>25.299067701030541</v>
      </c>
      <c r="F36" s="141">
        <f>'36 мес (аннуитет)'!E41</f>
        <v>0</v>
      </c>
      <c r="G36" s="142">
        <f>'36 мес (аннуитет)'!H41</f>
        <v>53.498796970505275</v>
      </c>
    </row>
    <row r="37" spans="1:7">
      <c r="A37" s="134">
        <v>22</v>
      </c>
      <c r="B37" s="143">
        <f t="shared" si="0"/>
        <v>44048</v>
      </c>
      <c r="C37" s="129">
        <f>'36 мес (аннуитет)'!C42</f>
        <v>29.351218214644948</v>
      </c>
      <c r="D37" s="141">
        <f>'36 мес (аннуитет)'!I42</f>
        <v>4.8918697024408253</v>
      </c>
      <c r="E37" s="129">
        <f>'36 мес (аннуитет)'!D42</f>
        <v>24.147578755860327</v>
      </c>
      <c r="F37" s="141">
        <f>'36 мес (аннуитет)'!E42</f>
        <v>0</v>
      </c>
      <c r="G37" s="142">
        <f>'36 мес (аннуитет)'!H42</f>
        <v>53.498796970505275</v>
      </c>
    </row>
    <row r="38" spans="1:7">
      <c r="A38" s="134">
        <v>23</v>
      </c>
      <c r="B38" s="143">
        <f t="shared" si="0"/>
        <v>44079</v>
      </c>
      <c r="C38" s="129">
        <f>'36 мес (аннуитет)'!C43</f>
        <v>30.54972629174295</v>
      </c>
      <c r="D38" s="141">
        <f>'36 мес (аннуитет)'!I43</f>
        <v>5.0916210486238249</v>
      </c>
      <c r="E38" s="129">
        <f>'36 мес (аннуитет)'!D43</f>
        <v>22.949070678762325</v>
      </c>
      <c r="F38" s="141">
        <f>'36 мес (аннуитет)'!E43</f>
        <v>0</v>
      </c>
      <c r="G38" s="142">
        <f>'36 мес (аннуитет)'!H43</f>
        <v>53.498796970505275</v>
      </c>
    </row>
    <row r="39" spans="1:7">
      <c r="A39" s="134">
        <v>24</v>
      </c>
      <c r="B39" s="143">
        <f t="shared" si="0"/>
        <v>44109</v>
      </c>
      <c r="C39" s="129">
        <f>'36 мес (аннуитет)'!C44</f>
        <v>31.797173448655787</v>
      </c>
      <c r="D39" s="141">
        <f>'36 мес (аннуитет)'!I44</f>
        <v>5.2995289081092976</v>
      </c>
      <c r="E39" s="129">
        <f>'36 мес (аннуитет)'!D44</f>
        <v>21.701623521849488</v>
      </c>
      <c r="F39" s="141">
        <f>'36 мес (аннуитет)'!E44</f>
        <v>0</v>
      </c>
      <c r="G39" s="142">
        <f>'36 мес (аннуитет)'!H44</f>
        <v>53.498796970505275</v>
      </c>
    </row>
    <row r="40" spans="1:7">
      <c r="A40" s="134">
        <v>25</v>
      </c>
      <c r="B40" s="143">
        <f t="shared" si="0"/>
        <v>44140</v>
      </c>
      <c r="C40" s="129">
        <f>'36 мес (аннуитет)'!C45</f>
        <v>33.095558031142559</v>
      </c>
      <c r="D40" s="141">
        <f>'36 мес (аннуитет)'!I45</f>
        <v>5.5159263385237596</v>
      </c>
      <c r="E40" s="129">
        <f>'36 мес (аннуитет)'!D45</f>
        <v>20.403238939362712</v>
      </c>
      <c r="F40" s="141">
        <f>'36 мес (аннуитет)'!E45</f>
        <v>0</v>
      </c>
      <c r="G40" s="142">
        <f>'36 мес (аннуитет)'!H45</f>
        <v>53.498796970505268</v>
      </c>
    </row>
    <row r="41" spans="1:7">
      <c r="A41" s="134">
        <v>26</v>
      </c>
      <c r="B41" s="143">
        <f t="shared" si="0"/>
        <v>44170</v>
      </c>
      <c r="C41" s="129">
        <f>'36 мес (аннуитет)'!C46</f>
        <v>34.446959984080884</v>
      </c>
      <c r="D41" s="141">
        <f>'36 мес (аннуитет)'!I46</f>
        <v>5.7411599973468137</v>
      </c>
      <c r="E41" s="129">
        <f>'36 мес (аннуитет)'!D46</f>
        <v>19.051836986424391</v>
      </c>
      <c r="F41" s="141">
        <f>'36 мес (аннуитет)'!E46</f>
        <v>0</v>
      </c>
      <c r="G41" s="142">
        <f>'36 мес (аннуитет)'!H46</f>
        <v>53.498796970505275</v>
      </c>
    </row>
    <row r="42" spans="1:7">
      <c r="A42" s="134">
        <v>27</v>
      </c>
      <c r="B42" s="143">
        <f t="shared" si="0"/>
        <v>44201</v>
      </c>
      <c r="C42" s="129">
        <f>'36 мес (аннуитет)'!C47</f>
        <v>35.853544183430856</v>
      </c>
      <c r="D42" s="141">
        <f>'36 мес (аннуитет)'!I47</f>
        <v>5.9755906972384762</v>
      </c>
      <c r="E42" s="129">
        <f>'36 мес (аннуитет)'!D47</f>
        <v>17.645252787074423</v>
      </c>
      <c r="F42" s="141">
        <f>'36 мес (аннуитет)'!E47</f>
        <v>0</v>
      </c>
      <c r="G42" s="142">
        <f>'36 мес (аннуитет)'!H47</f>
        <v>53.498796970505282</v>
      </c>
    </row>
    <row r="43" spans="1:7">
      <c r="A43" s="134">
        <v>28</v>
      </c>
      <c r="B43" s="143">
        <f t="shared" si="0"/>
        <v>44232</v>
      </c>
      <c r="C43" s="129">
        <f>'36 мес (аннуитет)'!C48</f>
        <v>37.317563904254285</v>
      </c>
      <c r="D43" s="141">
        <f>'36 мес (аннуитет)'!I48</f>
        <v>6.2195939840423806</v>
      </c>
      <c r="E43" s="129">
        <f>'36 мес (аннуитет)'!D48</f>
        <v>16.181233066250993</v>
      </c>
      <c r="F43" s="141">
        <f>'36 мес (аннуитет)'!E48</f>
        <v>0</v>
      </c>
      <c r="G43" s="142">
        <f>'36 мес (аннуитет)'!H48</f>
        <v>53.498796970505282</v>
      </c>
    </row>
    <row r="44" spans="1:7">
      <c r="A44" s="134">
        <v>29</v>
      </c>
      <c r="B44" s="143">
        <f t="shared" si="0"/>
        <v>44260</v>
      </c>
      <c r="C44" s="129">
        <f>'36 мес (аннуитет)'!C49</f>
        <v>38.841364430344662</v>
      </c>
      <c r="D44" s="141">
        <f>'36 мес (аннуитет)'!I49</f>
        <v>6.4735607383907769</v>
      </c>
      <c r="E44" s="129">
        <f>'36 мес (аннуитет)'!D49</f>
        <v>14.657432540160611</v>
      </c>
      <c r="F44" s="141">
        <f>'36 мес (аннуитет)'!E49</f>
        <v>0</v>
      </c>
      <c r="G44" s="142">
        <f>'36 мес (аннуитет)'!H49</f>
        <v>53.498796970505275</v>
      </c>
    </row>
    <row r="45" spans="1:7">
      <c r="A45" s="134">
        <v>30</v>
      </c>
      <c r="B45" s="143">
        <f t="shared" si="0"/>
        <v>44291</v>
      </c>
      <c r="C45" s="129">
        <f>'36 мес (аннуитет)'!C50</f>
        <v>40.4273868112504</v>
      </c>
      <c r="D45" s="141">
        <f>'36 мес (аннуитет)'!I50</f>
        <v>6.737897801875067</v>
      </c>
      <c r="E45" s="129">
        <f>'36 мес (аннуитет)'!D50</f>
        <v>13.071410159254873</v>
      </c>
      <c r="F45" s="141">
        <f>'36 мес (аннуитет)'!E50</f>
        <v>0</v>
      </c>
      <c r="G45" s="142">
        <f>'36 мес (аннуитет)'!H50</f>
        <v>53.498796970505275</v>
      </c>
    </row>
    <row r="46" spans="1:7">
      <c r="A46" s="134">
        <v>31</v>
      </c>
      <c r="B46" s="143">
        <f t="shared" si="0"/>
        <v>44321</v>
      </c>
      <c r="C46" s="129">
        <f>'36 мес (аннуитет)'!C51</f>
        <v>42.078171772709794</v>
      </c>
      <c r="D46" s="141">
        <f>'36 мес (аннуитет)'!I51</f>
        <v>7.0130286287849657</v>
      </c>
      <c r="E46" s="129">
        <f>'36 мес (аннуитет)'!D51</f>
        <v>11.420625197795481</v>
      </c>
      <c r="F46" s="141">
        <f>'36 мес (аннуитет)'!E51</f>
        <v>0</v>
      </c>
      <c r="G46" s="142">
        <f>'36 мес (аннуитет)'!H51</f>
        <v>53.498796970505275</v>
      </c>
    </row>
    <row r="47" spans="1:7">
      <c r="A47" s="134">
        <v>32</v>
      </c>
      <c r="B47" s="143">
        <f t="shared" si="0"/>
        <v>44352</v>
      </c>
      <c r="C47" s="129">
        <f>'36 мес (аннуитет)'!C52</f>
        <v>43.796363786762115</v>
      </c>
      <c r="D47" s="141">
        <f>'36 мес (аннуитет)'!I52</f>
        <v>7.2993939644603527</v>
      </c>
      <c r="E47" s="129">
        <f>'36 мес (аннуитет)'!D52</f>
        <v>9.7024331837431639</v>
      </c>
      <c r="F47" s="141">
        <f>'36 мес (аннуитет)'!E52</f>
        <v>0</v>
      </c>
      <c r="G47" s="142">
        <f>'36 мес (аннуитет)'!H52</f>
        <v>53.498796970505282</v>
      </c>
    </row>
    <row r="48" spans="1:7">
      <c r="A48" s="134">
        <v>33</v>
      </c>
      <c r="B48" s="143">
        <f t="shared" si="0"/>
        <v>44382</v>
      </c>
      <c r="C48" s="129">
        <f>'36 мес (аннуитет)'!C53</f>
        <v>45.584715308054896</v>
      </c>
      <c r="D48" s="141">
        <f>'36 мес (аннуитет)'!I53</f>
        <v>7.5974525513424833</v>
      </c>
      <c r="E48" s="129">
        <f>'36 мес (аннуитет)'!D53</f>
        <v>7.9140816624503785</v>
      </c>
      <c r="F48" s="141">
        <f>'36 мес (аннуитет)'!E53</f>
        <v>0</v>
      </c>
      <c r="G48" s="142">
        <f>'36 мес (аннуитет)'!H53</f>
        <v>53.498796970505275</v>
      </c>
    </row>
    <row r="49" spans="1:7">
      <c r="A49" s="134">
        <v>34</v>
      </c>
      <c r="B49" s="143">
        <f t="shared" si="0"/>
        <v>44413</v>
      </c>
      <c r="C49" s="129">
        <f>'36 мес (аннуитет)'!C54</f>
        <v>47.446091183133802</v>
      </c>
      <c r="D49" s="141">
        <f>'36 мес (аннуитет)'!I54</f>
        <v>7.9076818638556334</v>
      </c>
      <c r="E49" s="129">
        <f>'36 мес (аннуитет)'!D54</f>
        <v>6.0527057873714689</v>
      </c>
      <c r="F49" s="141">
        <f>'36 мес (аннуитет)'!E54</f>
        <v>0</v>
      </c>
      <c r="G49" s="142">
        <f>'36 мес (аннуитет)'!H54</f>
        <v>53.498796970505268</v>
      </c>
    </row>
    <row r="50" spans="1:7">
      <c r="A50" s="134">
        <v>35</v>
      </c>
      <c r="B50" s="143">
        <f t="shared" si="0"/>
        <v>44444</v>
      </c>
      <c r="C50" s="129">
        <f>'36 мес (аннуитет)'!C55</f>
        <v>49.383473239778439</v>
      </c>
      <c r="D50" s="141">
        <f>'36 мес (аннуитет)'!I55</f>
        <v>8.2305788732964054</v>
      </c>
      <c r="E50" s="129">
        <f>'36 мес (аннуитет)'!D55</f>
        <v>4.1153237307268391</v>
      </c>
      <c r="F50" s="141">
        <f>'36 мес (аннуитет)'!E55</f>
        <v>0</v>
      </c>
      <c r="G50" s="142">
        <f>'36 мес (аннуитет)'!H55</f>
        <v>53.498796970505282</v>
      </c>
    </row>
    <row r="51" spans="1:7">
      <c r="A51" s="134">
        <v>36</v>
      </c>
      <c r="B51" s="143">
        <f t="shared" si="0"/>
        <v>44474</v>
      </c>
      <c r="C51" s="129">
        <f>'36 мес (аннуитет)'!C56</f>
        <v>51.399965063736055</v>
      </c>
      <c r="D51" s="141">
        <f>'36 мес (аннуитет)'!I56</f>
        <v>8.5666608439560097</v>
      </c>
      <c r="E51" s="129">
        <f>'36 мес (аннуитет)'!D56</f>
        <v>2.0988319067692198</v>
      </c>
      <c r="F51" s="141">
        <f>'36 мес (аннуитет)'!E56</f>
        <v>0</v>
      </c>
      <c r="G51" s="142">
        <f>'36 мес (аннуитет)'!H56</f>
        <v>53.498796970505275</v>
      </c>
    </row>
    <row r="52" spans="1:7">
      <c r="A52" s="284" t="s">
        <v>1</v>
      </c>
      <c r="B52" s="285"/>
      <c r="C52" s="144">
        <f>SUM(C15:C51)</f>
        <v>1000.0000000000002</v>
      </c>
      <c r="D52" s="144">
        <f>SUM(D15:D51)</f>
        <v>166.66666666666669</v>
      </c>
      <c r="E52" s="144"/>
      <c r="F52" s="145"/>
      <c r="G52" s="146"/>
    </row>
    <row r="53" spans="1:7">
      <c r="A53" s="147" t="s">
        <v>187</v>
      </c>
      <c r="B53" s="147"/>
      <c r="C53" s="147"/>
      <c r="D53" s="147"/>
      <c r="E53" s="147"/>
      <c r="F53" s="147"/>
      <c r="G53" s="147"/>
    </row>
    <row r="54" spans="1:7" ht="7.5" customHeight="1">
      <c r="A54" s="148"/>
      <c r="B54" s="148"/>
      <c r="C54" s="148"/>
      <c r="D54" s="148"/>
      <c r="E54" s="148"/>
      <c r="F54" s="148"/>
      <c r="G54" s="148"/>
    </row>
    <row r="55" spans="1:7" ht="15.75" customHeight="1">
      <c r="A55" s="149"/>
      <c r="B55" s="149"/>
      <c r="C55" s="149"/>
      <c r="D55" s="149"/>
      <c r="E55" s="149"/>
      <c r="F55" s="149"/>
      <c r="G55" s="149"/>
    </row>
    <row r="56" spans="1:7" ht="15.75" customHeight="1">
      <c r="A56" s="149"/>
      <c r="B56" s="149"/>
      <c r="C56" s="149"/>
      <c r="D56" s="149"/>
      <c r="E56" s="149"/>
      <c r="F56" s="149"/>
      <c r="G56" s="149"/>
    </row>
    <row r="57" spans="1:7" ht="11.25" customHeight="1">
      <c r="A57" s="149"/>
      <c r="B57" s="149"/>
      <c r="C57" s="149"/>
      <c r="D57" s="149"/>
      <c r="E57" s="149"/>
      <c r="F57" s="149"/>
      <c r="G57" s="149"/>
    </row>
    <row r="58" spans="1:7">
      <c r="A58" s="150"/>
      <c r="B58" s="150"/>
      <c r="C58" s="150"/>
      <c r="D58" s="150"/>
      <c r="E58" s="150"/>
      <c r="F58" s="150"/>
      <c r="G58" s="150"/>
    </row>
    <row r="59" spans="1:7">
      <c r="A59" s="151"/>
      <c r="B59" s="150"/>
      <c r="C59" s="150"/>
      <c r="D59" s="150"/>
      <c r="E59" s="150"/>
      <c r="F59" s="126"/>
      <c r="G59" s="150"/>
    </row>
    <row r="60" spans="1:7">
      <c r="A60" s="152"/>
      <c r="B60" s="152"/>
      <c r="C60" s="152"/>
      <c r="D60" s="150"/>
      <c r="E60" s="150"/>
      <c r="F60" s="150"/>
      <c r="G60" s="150"/>
    </row>
    <row r="61" spans="1:7">
      <c r="A61" s="150"/>
      <c r="B61" s="150"/>
      <c r="C61" s="150"/>
      <c r="D61" s="150"/>
      <c r="E61" s="150"/>
    </row>
    <row r="62" spans="1:7">
      <c r="A62" s="153"/>
      <c r="B62" s="154"/>
      <c r="C62" s="154"/>
      <c r="D62" s="150"/>
      <c r="E62" s="150"/>
      <c r="F62" s="286"/>
      <c r="G62" s="286"/>
    </row>
    <row r="63" spans="1:7">
      <c r="A63" s="287"/>
      <c r="B63" s="287"/>
      <c r="C63" s="155"/>
      <c r="D63" s="150"/>
      <c r="E63" s="150"/>
      <c r="F63" s="156"/>
      <c r="G63" s="150"/>
    </row>
    <row r="64" spans="1:7">
      <c r="D64" s="155"/>
      <c r="E64" s="155"/>
      <c r="F64" s="155"/>
      <c r="G64" s="155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3:G3"/>
    <mergeCell ref="A52:B52"/>
    <mergeCell ref="F62:G62"/>
    <mergeCell ref="A63:B63"/>
  </mergeCells>
  <pageMargins left="0.9" right="0.35433070866141736" top="0.39370078740157483" bottom="0.23" header="0.31496062992125984" footer="0.17"/>
  <pageSetup paperSize="9" scale="77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1"/>
  <sheetViews>
    <sheetView workbookViewId="0">
      <selection activeCell="B17" sqref="B17"/>
    </sheetView>
  </sheetViews>
  <sheetFormatPr defaultColWidth="12.42578125" defaultRowHeight="15.75"/>
  <cols>
    <col min="1" max="1" width="76.42578125" style="178" bestFit="1" customWidth="1"/>
    <col min="2" max="2" width="21.140625" style="178" customWidth="1"/>
    <col min="3" max="3" width="29.5703125" style="178" customWidth="1"/>
    <col min="4" max="16384" width="12.42578125" style="178"/>
  </cols>
  <sheetData>
    <row r="1" spans="1:3">
      <c r="A1" s="179" t="s">
        <v>4</v>
      </c>
    </row>
    <row r="2" spans="1:3">
      <c r="A2" s="178" t="s">
        <v>5</v>
      </c>
      <c r="B2" s="180"/>
    </row>
    <row r="3" spans="1:3">
      <c r="A3" s="178" t="s">
        <v>6</v>
      </c>
      <c r="B3" s="181"/>
    </row>
    <row r="4" spans="1:3">
      <c r="A4" s="178" t="s">
        <v>0</v>
      </c>
      <c r="B4" s="182">
        <f ca="1">TODAY()</f>
        <v>45791</v>
      </c>
    </row>
    <row r="5" spans="1:3">
      <c r="A5" s="178" t="s">
        <v>7</v>
      </c>
      <c r="B5" s="183"/>
    </row>
    <row r="6" spans="1:3">
      <c r="A6" s="178" t="s">
        <v>8</v>
      </c>
      <c r="B6" s="183" t="e">
        <f>CONCATENATE(#REF!," ",#REF!," ",#REF!)</f>
        <v>#REF!</v>
      </c>
    </row>
    <row r="7" spans="1:3">
      <c r="B7" s="184"/>
    </row>
    <row r="8" spans="1:3">
      <c r="A8" s="179" t="s">
        <v>9</v>
      </c>
      <c r="B8" s="184"/>
    </row>
    <row r="9" spans="1:3">
      <c r="A9" s="185" t="s">
        <v>10</v>
      </c>
      <c r="B9" s="181" t="s">
        <v>11</v>
      </c>
    </row>
    <row r="10" spans="1:3">
      <c r="A10" s="178" t="s">
        <v>12</v>
      </c>
      <c r="B10" s="186" t="e">
        <f>#REF!</f>
        <v>#REF!</v>
      </c>
    </row>
    <row r="11" spans="1:3">
      <c r="A11" s="178" t="s">
        <v>13</v>
      </c>
      <c r="B11" s="187">
        <v>3.3300000000000003E-2</v>
      </c>
    </row>
    <row r="12" spans="1:3">
      <c r="A12" s="178" t="s">
        <v>14</v>
      </c>
      <c r="B12" s="183"/>
    </row>
    <row r="13" spans="1:3">
      <c r="A13" s="178" t="s">
        <v>58</v>
      </c>
      <c r="B13" s="188" t="e">
        <f>#REF!</f>
        <v>#REF!</v>
      </c>
    </row>
    <row r="14" spans="1:3">
      <c r="A14" s="178" t="s">
        <v>15</v>
      </c>
      <c r="B14" s="189">
        <v>0.2</v>
      </c>
    </row>
    <row r="15" spans="1:3">
      <c r="A15" s="178" t="s">
        <v>16</v>
      </c>
      <c r="B15" s="189">
        <v>0</v>
      </c>
    </row>
    <row r="16" spans="1:3">
      <c r="A16" s="178" t="s">
        <v>17</v>
      </c>
      <c r="B16" s="187" t="e">
        <f>#REF!/#REF!*100%</f>
        <v>#REF!</v>
      </c>
      <c r="C16" s="190"/>
    </row>
    <row r="17" spans="1:5">
      <c r="A17" s="178" t="s">
        <v>18</v>
      </c>
      <c r="B17" s="182">
        <f ca="1">TODAY()</f>
        <v>45791</v>
      </c>
    </row>
    <row r="18" spans="1:5">
      <c r="A18" s="178" t="s">
        <v>19</v>
      </c>
      <c r="B18" s="191">
        <f ca="1">EDATE(B17,1)</f>
        <v>45822</v>
      </c>
    </row>
    <row r="19" spans="1:5">
      <c r="A19" s="178" t="s">
        <v>20</v>
      </c>
      <c r="B19" s="183">
        <v>0</v>
      </c>
    </row>
    <row r="20" spans="1:5">
      <c r="A20" s="178" t="s">
        <v>21</v>
      </c>
      <c r="B20" s="189">
        <v>0</v>
      </c>
    </row>
    <row r="21" spans="1:5">
      <c r="A21" s="178" t="s">
        <v>22</v>
      </c>
      <c r="B21" s="192">
        <v>360</v>
      </c>
    </row>
    <row r="22" spans="1:5">
      <c r="A22" s="178" t="s">
        <v>23</v>
      </c>
      <c r="B22" s="193" t="e">
        <f>Аннуитет!E144</f>
        <v>#REF!</v>
      </c>
    </row>
    <row r="23" spans="1:5">
      <c r="A23" s="178" t="s">
        <v>24</v>
      </c>
      <c r="B23" s="193" t="e">
        <f>SUM(Аннуитет!E24:E35)</f>
        <v>#REF!</v>
      </c>
    </row>
    <row r="24" spans="1:5">
      <c r="A24" s="179" t="s">
        <v>25</v>
      </c>
      <c r="B24" s="194" t="e">
        <f>B13*B16</f>
        <v>#REF!</v>
      </c>
      <c r="E24" s="185"/>
    </row>
    <row r="25" spans="1:5">
      <c r="A25" s="179" t="s">
        <v>26</v>
      </c>
      <c r="B25" s="194">
        <v>0</v>
      </c>
    </row>
    <row r="26" spans="1:5">
      <c r="A26" s="179" t="s">
        <v>27</v>
      </c>
      <c r="B26" s="194" t="e">
        <f>SUM(Аннуитет!I144:I145)</f>
        <v>#REF!</v>
      </c>
    </row>
    <row r="27" spans="1:5" s="185" customFormat="1">
      <c r="A27" s="195" t="s">
        <v>28</v>
      </c>
      <c r="B27" s="196" t="e">
        <f>B26/(B13-B24)-1</f>
        <v>#REF!</v>
      </c>
      <c r="C27" s="197"/>
    </row>
    <row r="28" spans="1:5">
      <c r="A28" s="179" t="s">
        <v>28</v>
      </c>
      <c r="B28" s="198" t="e">
        <f>B26/(B13-B24)-1</f>
        <v>#REF!</v>
      </c>
    </row>
    <row r="29" spans="1:5">
      <c r="A29" s="199" t="s">
        <v>29</v>
      </c>
      <c r="B29" s="200" t="e">
        <f>B28/B10</f>
        <v>#REF!</v>
      </c>
    </row>
    <row r="30" spans="1:5">
      <c r="A30" s="179" t="s">
        <v>30</v>
      </c>
      <c r="B30" s="198" t="e">
        <f>B23/(B13-B24)</f>
        <v>#REF!</v>
      </c>
    </row>
    <row r="31" spans="1:5">
      <c r="A31" s="199" t="s">
        <v>31</v>
      </c>
      <c r="B31" s="200" t="e">
        <f>B29*12</f>
        <v>#REF!</v>
      </c>
    </row>
  </sheetData>
  <dataValidations count="3">
    <dataValidation type="list" allowBlank="1" showInputMessage="1" showErrorMessage="1" sqref="B14:B15" xr:uid="{00000000-0002-0000-1400-000000000000}">
      <formula1>"0%,20%"</formula1>
    </dataValidation>
    <dataValidation type="list" allowBlank="1" showInputMessage="1" showErrorMessage="1" sqref="B21" xr:uid="{00000000-0002-0000-1400-000001000000}">
      <formula1>"360,365"</formula1>
    </dataValidation>
    <dataValidation type="list" allowBlank="1" showInputMessage="1" showErrorMessage="1" sqref="B9" xr:uid="{00000000-0002-0000-1400-000002000000}">
      <formula1>"Евро, Доллары США, Белорусский рубль, Китайский юань"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161"/>
  <sheetViews>
    <sheetView topLeftCell="A7" zoomScale="130" workbookViewId="0">
      <selection activeCell="I12" sqref="I12"/>
    </sheetView>
  </sheetViews>
  <sheetFormatPr defaultColWidth="12.42578125" defaultRowHeight="15.75"/>
  <cols>
    <col min="1" max="1" width="20.5703125" style="201" customWidth="1"/>
    <col min="2" max="2" width="12.42578125" style="201" customWidth="1"/>
    <col min="3" max="3" width="22.7109375" style="201" customWidth="1"/>
    <col min="4" max="4" width="22.7109375" style="201" hidden="1" customWidth="1"/>
    <col min="5" max="5" width="22.140625" style="201" bestFit="1" customWidth="1"/>
    <col min="6" max="6" width="20" style="201" customWidth="1"/>
    <col min="7" max="7" width="18.85546875" style="201" customWidth="1"/>
    <col min="8" max="8" width="22" style="201" customWidth="1"/>
    <col min="9" max="9" width="22.42578125" style="201" customWidth="1"/>
    <col min="10" max="16384" width="12.42578125" style="201"/>
  </cols>
  <sheetData>
    <row r="1" spans="1:9" ht="18.75">
      <c r="A1" s="303" t="s">
        <v>32</v>
      </c>
      <c r="B1" s="303"/>
      <c r="C1" s="303"/>
      <c r="D1" s="303"/>
      <c r="E1" s="303"/>
      <c r="F1" s="304"/>
      <c r="G1" s="304"/>
      <c r="H1" s="203" t="s">
        <v>33</v>
      </c>
      <c r="I1" s="204">
        <f ca="1">'Общие данные'!$B4</f>
        <v>45791</v>
      </c>
    </row>
    <row r="2" spans="1:9" ht="18.75">
      <c r="A2" s="202"/>
      <c r="B2" s="202"/>
      <c r="C2" s="202"/>
      <c r="D2" s="202"/>
      <c r="E2" s="202"/>
      <c r="F2" s="293" t="s">
        <v>64</v>
      </c>
      <c r="G2" s="293"/>
      <c r="H2" s="205" t="e">
        <f>'Общие данные'!B6</f>
        <v>#REF!</v>
      </c>
      <c r="I2" s="203"/>
    </row>
    <row r="3" spans="1:9">
      <c r="A3" s="206">
        <f ca="1">'Общие данные'!B4</f>
        <v>45791</v>
      </c>
      <c r="B3" s="207"/>
      <c r="C3" s="178"/>
      <c r="D3" s="178"/>
      <c r="E3" s="178"/>
      <c r="F3" s="178"/>
      <c r="G3" s="178"/>
      <c r="H3" s="178"/>
      <c r="I3" s="178"/>
    </row>
    <row r="4" spans="1:9">
      <c r="A4" s="207"/>
      <c r="B4" s="207"/>
      <c r="C4" s="178"/>
      <c r="D4" s="178"/>
      <c r="E4" s="178"/>
      <c r="F4" s="178"/>
      <c r="G4" s="178"/>
      <c r="H4" s="178"/>
      <c r="I4" s="178"/>
    </row>
    <row r="5" spans="1:9">
      <c r="A5" s="305" t="s">
        <v>34</v>
      </c>
      <c r="B5" s="305"/>
      <c r="C5" s="300"/>
      <c r="D5" s="178"/>
      <c r="E5" s="185" t="str">
        <f>'Общие данные'!B9</f>
        <v>Белорусский рубль</v>
      </c>
      <c r="F5" s="178"/>
      <c r="G5" s="178"/>
      <c r="H5" s="178"/>
      <c r="I5" s="178"/>
    </row>
    <row r="6" spans="1:9">
      <c r="A6" s="301"/>
      <c r="B6" s="301"/>
      <c r="C6" s="302"/>
      <c r="D6" s="178"/>
      <c r="E6" s="185"/>
      <c r="F6" s="178"/>
      <c r="G6" s="178"/>
      <c r="H6" s="178"/>
      <c r="I6" s="178"/>
    </row>
    <row r="7" spans="1:9">
      <c r="A7" s="207"/>
      <c r="B7" s="207"/>
      <c r="C7" s="178"/>
      <c r="D7" s="178"/>
      <c r="E7" s="178"/>
      <c r="F7" s="178"/>
      <c r="G7" s="178"/>
      <c r="H7" s="178"/>
      <c r="I7" s="178"/>
    </row>
    <row r="8" spans="1:9">
      <c r="A8" s="300" t="s">
        <v>35</v>
      </c>
      <c r="B8" s="300"/>
      <c r="C8" s="299"/>
      <c r="D8" s="299"/>
      <c r="E8" s="208" t="e">
        <f>'Общие данные'!B10</f>
        <v>#REF!</v>
      </c>
      <c r="F8" s="209" t="s">
        <v>36</v>
      </c>
      <c r="G8" s="178"/>
      <c r="H8" s="210"/>
      <c r="I8" s="178"/>
    </row>
    <row r="9" spans="1:9">
      <c r="A9" s="300" t="s">
        <v>37</v>
      </c>
      <c r="B9" s="300"/>
      <c r="C9" s="299"/>
      <c r="D9" s="299"/>
      <c r="E9" s="211" t="e">
        <f>'Общие данные'!B13</f>
        <v>#REF!</v>
      </c>
      <c r="F9" s="209" t="s">
        <v>3</v>
      </c>
      <c r="G9" s="178"/>
      <c r="H9" s="178"/>
      <c r="I9" s="178"/>
    </row>
    <row r="10" spans="1:9">
      <c r="A10" s="300" t="s">
        <v>57</v>
      </c>
      <c r="B10" s="300"/>
      <c r="C10" s="300"/>
      <c r="D10" s="203"/>
      <c r="E10" s="211" t="e">
        <f>E9*20/120</f>
        <v>#REF!</v>
      </c>
      <c r="F10" s="209" t="s">
        <v>3</v>
      </c>
      <c r="G10" s="178"/>
      <c r="H10" s="178"/>
      <c r="I10" s="178"/>
    </row>
    <row r="11" spans="1:9">
      <c r="A11" s="300" t="s">
        <v>38</v>
      </c>
      <c r="B11" s="300"/>
      <c r="C11" s="299"/>
      <c r="D11" s="299"/>
      <c r="E11" s="211" t="e">
        <f>'Общие данные'!B24</f>
        <v>#REF!</v>
      </c>
      <c r="F11" s="209" t="str">
        <f>F9</f>
        <v>BYN</v>
      </c>
      <c r="G11" s="178"/>
      <c r="H11" s="178"/>
      <c r="I11" s="178"/>
    </row>
    <row r="12" spans="1:9">
      <c r="A12" s="298" t="s">
        <v>39</v>
      </c>
      <c r="B12" s="298"/>
      <c r="C12" s="299"/>
      <c r="D12" s="299"/>
      <c r="E12" s="211">
        <f>'Общие данные'!B25</f>
        <v>0</v>
      </c>
      <c r="F12" s="209" t="str">
        <f>F9</f>
        <v>BYN</v>
      </c>
      <c r="G12" s="178"/>
      <c r="H12" s="178"/>
      <c r="I12" s="212" t="e">
        <f>AVERAGE(I24:I35)</f>
        <v>#REF!</v>
      </c>
    </row>
    <row r="13" spans="1:9">
      <c r="A13" s="300" t="s">
        <v>40</v>
      </c>
      <c r="B13" s="300"/>
      <c r="C13" s="299"/>
      <c r="D13" s="299"/>
      <c r="E13" s="211" t="e">
        <f>ROUNDUP('Общие данные'!B13,2)</f>
        <v>#REF!</v>
      </c>
      <c r="F13" s="209" t="s">
        <v>3</v>
      </c>
      <c r="G13" s="178"/>
      <c r="H13" s="178"/>
      <c r="I13" s="178"/>
    </row>
    <row r="14" spans="1:9" hidden="1">
      <c r="A14" s="306"/>
      <c r="B14" s="306"/>
      <c r="C14" s="292"/>
      <c r="D14" s="292"/>
      <c r="E14" s="185"/>
      <c r="F14" s="178"/>
      <c r="G14" s="178"/>
      <c r="H14" s="178"/>
      <c r="I14" s="178"/>
    </row>
    <row r="15" spans="1:9" hidden="1">
      <c r="A15" s="295" t="s">
        <v>41</v>
      </c>
      <c r="B15" s="295"/>
      <c r="C15" s="292"/>
      <c r="D15" s="292"/>
      <c r="E15" s="214">
        <f>'Общие данные'!B11</f>
        <v>3.3300000000000003E-2</v>
      </c>
      <c r="F15" s="209" t="s">
        <v>42</v>
      </c>
      <c r="G15" s="178"/>
      <c r="H15" s="178"/>
      <c r="I15" s="178"/>
    </row>
    <row r="16" spans="1:9" hidden="1">
      <c r="A16" s="302"/>
      <c r="B16" s="302"/>
      <c r="C16" s="292"/>
      <c r="D16" s="292"/>
      <c r="F16" s="209" t="s">
        <v>43</v>
      </c>
      <c r="G16" s="178"/>
      <c r="H16" s="178"/>
      <c r="I16" s="178"/>
    </row>
    <row r="17" spans="1:9" hidden="1">
      <c r="A17" s="179" t="s">
        <v>22</v>
      </c>
      <c r="B17" s="178"/>
      <c r="C17" s="178"/>
      <c r="D17" s="178"/>
      <c r="E17" s="208">
        <f>'Общие данные'!B21</f>
        <v>360</v>
      </c>
      <c r="F17" s="178"/>
      <c r="G17" s="178"/>
      <c r="H17" s="178"/>
      <c r="I17" s="178"/>
    </row>
    <row r="18" spans="1:9" hidden="1">
      <c r="A18" s="302" t="s">
        <v>44</v>
      </c>
      <c r="B18" s="302"/>
      <c r="C18" s="292"/>
      <c r="D18" s="292"/>
      <c r="E18" s="215">
        <f ca="1">'Общие данные'!B17</f>
        <v>45791</v>
      </c>
      <c r="F18" s="178"/>
      <c r="G18" s="178"/>
      <c r="H18" s="178"/>
      <c r="I18" s="178"/>
    </row>
    <row r="19" spans="1:9" ht="3.95" hidden="1" customHeight="1">
      <c r="A19" s="302" t="s">
        <v>45</v>
      </c>
      <c r="B19" s="302"/>
      <c r="C19" s="292"/>
      <c r="D19" s="292"/>
      <c r="E19" s="178">
        <f>'Общие данные'!B19</f>
        <v>0</v>
      </c>
      <c r="F19" s="178"/>
      <c r="G19" s="216"/>
      <c r="H19" s="178"/>
      <c r="I19" s="178"/>
    </row>
    <row r="20" spans="1:9" hidden="1">
      <c r="A20" s="295"/>
      <c r="B20" s="295"/>
      <c r="C20" s="292"/>
      <c r="D20" s="292"/>
      <c r="E20" s="217"/>
      <c r="F20" s="178"/>
      <c r="G20" s="178"/>
      <c r="H20" s="178"/>
      <c r="I20" s="178"/>
    </row>
    <row r="21" spans="1:9" hidden="1">
      <c r="A21" s="295"/>
      <c r="B21" s="295"/>
      <c r="C21" s="292"/>
      <c r="D21" s="292"/>
      <c r="E21" s="217"/>
      <c r="F21" s="178"/>
      <c r="G21" s="178"/>
      <c r="H21" s="178"/>
      <c r="I21" s="178"/>
    </row>
    <row r="22" spans="1:9" s="218" customFormat="1" ht="66.75" customHeight="1">
      <c r="A22" s="219" t="s">
        <v>46</v>
      </c>
      <c r="B22" s="219" t="s">
        <v>47</v>
      </c>
      <c r="C22" s="219" t="s">
        <v>59</v>
      </c>
      <c r="D22" s="219" t="s">
        <v>48</v>
      </c>
      <c r="E22" s="219" t="s">
        <v>49</v>
      </c>
      <c r="F22" s="219" t="s">
        <v>50</v>
      </c>
      <c r="G22" s="219" t="s">
        <v>60</v>
      </c>
      <c r="H22" s="219" t="s">
        <v>61</v>
      </c>
      <c r="I22" s="219" t="s">
        <v>62</v>
      </c>
    </row>
    <row r="23" spans="1:9" s="218" customFormat="1" ht="17.25" customHeight="1">
      <c r="A23" s="296" t="s">
        <v>51</v>
      </c>
      <c r="B23" s="297"/>
      <c r="C23" s="220">
        <v>100</v>
      </c>
      <c r="D23" s="221"/>
      <c r="E23" s="221"/>
      <c r="F23" s="222"/>
      <c r="G23" s="213" t="e">
        <f>E11</f>
        <v>#REF!</v>
      </c>
      <c r="H23" s="223" t="e">
        <f>G23*20/120</f>
        <v>#REF!</v>
      </c>
      <c r="I23" s="213" t="e">
        <f>G23</f>
        <v>#REF!</v>
      </c>
    </row>
    <row r="24" spans="1:9" ht="15.95" customHeight="1">
      <c r="A24" s="224">
        <f ca="1">IF($A$3&gt;'Общие данные'!$B$17,"Ошибка",'Общие данные'!$B$18)</f>
        <v>45822</v>
      </c>
      <c r="B24" s="185">
        <v>1</v>
      </c>
      <c r="C24" s="194" t="e">
        <f>IF(B24&gt;$E$8,0,E13-E11)</f>
        <v>#REF!</v>
      </c>
      <c r="D24" s="225">
        <v>30</v>
      </c>
      <c r="E24" s="194" t="e">
        <f t="shared" ref="E24:E55" si="0">IF(B24&gt;$E$8,0,ROUNDUP(C24*($E$15*12)*D24/$E$17,2))</f>
        <v>#REF!</v>
      </c>
      <c r="F24" s="190" t="e">
        <f>IF(E24&gt;0,IF('Общие данные'!$B$15&gt;0,E24*'Общие данные'!$B$15,"Без НДС"),0)</f>
        <v>#REF!</v>
      </c>
      <c r="G24" s="194" t="e">
        <f t="shared" ref="G24:G55" si="1">IF(B24=$E$8,C24-$E$12,IF(B24&gt;$E$19,IF(B24&gt;$E$8,0,(I24-E24)),0))</f>
        <v>#REF!</v>
      </c>
      <c r="H24" s="223" t="e">
        <f>G24*20/120</f>
        <v>#REF!</v>
      </c>
      <c r="I24" s="194" t="e">
        <f t="shared" ref="I24:I59" si="2">ROUNDUP(IF(B24&gt;$E$19,IF(B24=$E$8,ROUND((E24+G24),2),IF(B24&gt;$E$8,0,PMT($E$15,($E$8-$E$19),-($E$13-$E$11),$E$12,0))),E24),2)</f>
        <v>#REF!</v>
      </c>
    </row>
    <row r="25" spans="1:9">
      <c r="A25" s="224" t="e">
        <f>IF(B25&gt;$E$8,0,IF(B25=0,0,EDATE(A24,1)))</f>
        <v>#REF!</v>
      </c>
      <c r="B25" s="185" t="e">
        <f>IF(B24&gt;=$E$8,0,IF(B24=0,0,B24+1))</f>
        <v>#REF!</v>
      </c>
      <c r="C25" s="194" t="e">
        <f>IF(B25&gt;$E$8,0,IF(B24+1&gt;$E$8,0,C24-G24))</f>
        <v>#REF!</v>
      </c>
      <c r="D25" s="225" t="e">
        <f>IF(B24+1&gt;$E$8,0,D24)</f>
        <v>#REF!</v>
      </c>
      <c r="E25" s="194" t="e">
        <f t="shared" si="0"/>
        <v>#REF!</v>
      </c>
      <c r="F25" s="190" t="e">
        <f>IF(E25&gt;0,IF('Общие данные'!$B$15&gt;0,E25*'Общие данные'!$B$15,"Без НДС"),0)</f>
        <v>#REF!</v>
      </c>
      <c r="G25" s="194" t="e">
        <f t="shared" si="1"/>
        <v>#REF!</v>
      </c>
      <c r="H25" s="223" t="e">
        <f t="shared" ref="H25:H88" si="3">G25*20/120</f>
        <v>#REF!</v>
      </c>
      <c r="I25" s="194" t="e">
        <f t="shared" si="2"/>
        <v>#REF!</v>
      </c>
    </row>
    <row r="26" spans="1:9">
      <c r="A26" s="224" t="e">
        <f t="shared" ref="A26:A59" si="4">IF(B26&gt;$E$8,0,IF(B26=0,0,EDATE(A25,1)))</f>
        <v>#REF!</v>
      </c>
      <c r="B26" s="185" t="e">
        <f t="shared" ref="B26:B89" si="5">IF(B25&gt;=$E$8,0,IF(B25=0,0,B25+1))</f>
        <v>#REF!</v>
      </c>
      <c r="C26" s="194" t="e">
        <f t="shared" ref="C26:C89" si="6">IF(B26&gt;$E$8,0,IF(B25+1&gt;$E$8,0,C25-G25))</f>
        <v>#REF!</v>
      </c>
      <c r="D26" s="225" t="e">
        <f t="shared" ref="D26:D89" si="7">IF(B25+1&gt;$E$8,0,D25)</f>
        <v>#REF!</v>
      </c>
      <c r="E26" s="194" t="e">
        <f t="shared" si="0"/>
        <v>#REF!</v>
      </c>
      <c r="F26" s="190" t="e">
        <f>IF(E26&gt;0,IF('Общие данные'!$B$15&gt;0,E26*'Общие данные'!$B$15,"Без НДС"),0)</f>
        <v>#REF!</v>
      </c>
      <c r="G26" s="194" t="e">
        <f t="shared" si="1"/>
        <v>#REF!</v>
      </c>
      <c r="H26" s="223" t="e">
        <f t="shared" si="3"/>
        <v>#REF!</v>
      </c>
      <c r="I26" s="194" t="e">
        <f t="shared" si="2"/>
        <v>#REF!</v>
      </c>
    </row>
    <row r="27" spans="1:9">
      <c r="A27" s="224" t="e">
        <f t="shared" si="4"/>
        <v>#REF!</v>
      </c>
      <c r="B27" s="185" t="e">
        <f t="shared" si="5"/>
        <v>#REF!</v>
      </c>
      <c r="C27" s="194" t="e">
        <f t="shared" si="6"/>
        <v>#REF!</v>
      </c>
      <c r="D27" s="225" t="e">
        <f t="shared" si="7"/>
        <v>#REF!</v>
      </c>
      <c r="E27" s="194" t="e">
        <f t="shared" si="0"/>
        <v>#REF!</v>
      </c>
      <c r="F27" s="190" t="e">
        <f>IF(E27&gt;0,IF('Общие данные'!$B$15&gt;0,E27*'Общие данные'!$B$15,"Без НДС"),0)</f>
        <v>#REF!</v>
      </c>
      <c r="G27" s="194" t="e">
        <f t="shared" si="1"/>
        <v>#REF!</v>
      </c>
      <c r="H27" s="223" t="e">
        <f t="shared" si="3"/>
        <v>#REF!</v>
      </c>
      <c r="I27" s="194" t="e">
        <f t="shared" si="2"/>
        <v>#REF!</v>
      </c>
    </row>
    <row r="28" spans="1:9">
      <c r="A28" s="224" t="e">
        <f t="shared" si="4"/>
        <v>#REF!</v>
      </c>
      <c r="B28" s="185" t="e">
        <f t="shared" si="5"/>
        <v>#REF!</v>
      </c>
      <c r="C28" s="194" t="e">
        <f t="shared" si="6"/>
        <v>#REF!</v>
      </c>
      <c r="D28" s="225" t="e">
        <f t="shared" si="7"/>
        <v>#REF!</v>
      </c>
      <c r="E28" s="194" t="e">
        <f t="shared" si="0"/>
        <v>#REF!</v>
      </c>
      <c r="F28" s="190" t="e">
        <f>IF(E28&gt;0,IF('Общие данные'!$B$15&gt;0,E28*'Общие данные'!$B$15,"Без НДС"),0)</f>
        <v>#REF!</v>
      </c>
      <c r="G28" s="194" t="e">
        <f t="shared" si="1"/>
        <v>#REF!</v>
      </c>
      <c r="H28" s="223" t="e">
        <f t="shared" si="3"/>
        <v>#REF!</v>
      </c>
      <c r="I28" s="194" t="e">
        <f t="shared" si="2"/>
        <v>#REF!</v>
      </c>
    </row>
    <row r="29" spans="1:9">
      <c r="A29" s="224" t="e">
        <f t="shared" si="4"/>
        <v>#REF!</v>
      </c>
      <c r="B29" s="185" t="e">
        <f t="shared" si="5"/>
        <v>#REF!</v>
      </c>
      <c r="C29" s="194" t="e">
        <f t="shared" si="6"/>
        <v>#REF!</v>
      </c>
      <c r="D29" s="225" t="e">
        <f t="shared" si="7"/>
        <v>#REF!</v>
      </c>
      <c r="E29" s="194" t="e">
        <f t="shared" si="0"/>
        <v>#REF!</v>
      </c>
      <c r="F29" s="190" t="e">
        <f>IF(E29&gt;0,IF('Общие данные'!$B$15&gt;0,E29*'Общие данные'!$B$15,"Без НДС"),0)</f>
        <v>#REF!</v>
      </c>
      <c r="G29" s="194" t="e">
        <f t="shared" si="1"/>
        <v>#REF!</v>
      </c>
      <c r="H29" s="223" t="e">
        <f t="shared" si="3"/>
        <v>#REF!</v>
      </c>
      <c r="I29" s="194" t="e">
        <f t="shared" si="2"/>
        <v>#REF!</v>
      </c>
    </row>
    <row r="30" spans="1:9">
      <c r="A30" s="224" t="e">
        <f t="shared" si="4"/>
        <v>#REF!</v>
      </c>
      <c r="B30" s="185" t="e">
        <f t="shared" si="5"/>
        <v>#REF!</v>
      </c>
      <c r="C30" s="194" t="e">
        <f t="shared" si="6"/>
        <v>#REF!</v>
      </c>
      <c r="D30" s="225" t="e">
        <f t="shared" si="7"/>
        <v>#REF!</v>
      </c>
      <c r="E30" s="194" t="e">
        <f t="shared" si="0"/>
        <v>#REF!</v>
      </c>
      <c r="F30" s="190" t="e">
        <f>IF(E30&gt;0,IF('Общие данные'!$B$15&gt;0,E30*'Общие данные'!$B$15,"Без НДС"),0)</f>
        <v>#REF!</v>
      </c>
      <c r="G30" s="194" t="e">
        <f t="shared" si="1"/>
        <v>#REF!</v>
      </c>
      <c r="H30" s="223" t="e">
        <f t="shared" si="3"/>
        <v>#REF!</v>
      </c>
      <c r="I30" s="194" t="e">
        <f t="shared" si="2"/>
        <v>#REF!</v>
      </c>
    </row>
    <row r="31" spans="1:9">
      <c r="A31" s="224" t="e">
        <f t="shared" si="4"/>
        <v>#REF!</v>
      </c>
      <c r="B31" s="185" t="e">
        <f t="shared" si="5"/>
        <v>#REF!</v>
      </c>
      <c r="C31" s="194" t="e">
        <f t="shared" si="6"/>
        <v>#REF!</v>
      </c>
      <c r="D31" s="225" t="e">
        <f t="shared" si="7"/>
        <v>#REF!</v>
      </c>
      <c r="E31" s="194" t="e">
        <f t="shared" si="0"/>
        <v>#REF!</v>
      </c>
      <c r="F31" s="190" t="e">
        <f>IF(E31&gt;0,IF('Общие данные'!$B$15&gt;0,E31*'Общие данные'!$B$15,"Без НДС"),0)</f>
        <v>#REF!</v>
      </c>
      <c r="G31" s="194" t="e">
        <f t="shared" si="1"/>
        <v>#REF!</v>
      </c>
      <c r="H31" s="223" t="e">
        <f t="shared" si="3"/>
        <v>#REF!</v>
      </c>
      <c r="I31" s="194" t="e">
        <f t="shared" si="2"/>
        <v>#REF!</v>
      </c>
    </row>
    <row r="32" spans="1:9">
      <c r="A32" s="224" t="e">
        <f t="shared" si="4"/>
        <v>#REF!</v>
      </c>
      <c r="B32" s="185" t="e">
        <f t="shared" si="5"/>
        <v>#REF!</v>
      </c>
      <c r="C32" s="194" t="e">
        <f t="shared" si="6"/>
        <v>#REF!</v>
      </c>
      <c r="D32" s="225" t="e">
        <f t="shared" si="7"/>
        <v>#REF!</v>
      </c>
      <c r="E32" s="194" t="e">
        <f t="shared" si="0"/>
        <v>#REF!</v>
      </c>
      <c r="F32" s="190" t="e">
        <f>IF(E32&gt;0,IF('Общие данные'!$B$15&gt;0,E32*'Общие данные'!$B$15,"Без НДС"),0)</f>
        <v>#REF!</v>
      </c>
      <c r="G32" s="194" t="e">
        <f t="shared" si="1"/>
        <v>#REF!</v>
      </c>
      <c r="H32" s="223" t="e">
        <f t="shared" si="3"/>
        <v>#REF!</v>
      </c>
      <c r="I32" s="194" t="e">
        <f t="shared" si="2"/>
        <v>#REF!</v>
      </c>
    </row>
    <row r="33" spans="1:9">
      <c r="A33" s="224" t="e">
        <f t="shared" si="4"/>
        <v>#REF!</v>
      </c>
      <c r="B33" s="185" t="e">
        <f t="shared" si="5"/>
        <v>#REF!</v>
      </c>
      <c r="C33" s="194" t="e">
        <f t="shared" si="6"/>
        <v>#REF!</v>
      </c>
      <c r="D33" s="225" t="e">
        <f t="shared" si="7"/>
        <v>#REF!</v>
      </c>
      <c r="E33" s="194" t="e">
        <f t="shared" si="0"/>
        <v>#REF!</v>
      </c>
      <c r="F33" s="190" t="e">
        <f>IF(E33&gt;0,IF('Общие данные'!$B$15&gt;0,E33*'Общие данные'!$B$15,"Без НДС"),0)</f>
        <v>#REF!</v>
      </c>
      <c r="G33" s="194" t="e">
        <f t="shared" si="1"/>
        <v>#REF!</v>
      </c>
      <c r="H33" s="223" t="e">
        <f t="shared" si="3"/>
        <v>#REF!</v>
      </c>
      <c r="I33" s="194" t="e">
        <f t="shared" si="2"/>
        <v>#REF!</v>
      </c>
    </row>
    <row r="34" spans="1:9">
      <c r="A34" s="224" t="e">
        <f t="shared" si="4"/>
        <v>#REF!</v>
      </c>
      <c r="B34" s="185" t="e">
        <f t="shared" si="5"/>
        <v>#REF!</v>
      </c>
      <c r="C34" s="194" t="e">
        <f t="shared" si="6"/>
        <v>#REF!</v>
      </c>
      <c r="D34" s="225" t="e">
        <f t="shared" si="7"/>
        <v>#REF!</v>
      </c>
      <c r="E34" s="194" t="e">
        <f t="shared" si="0"/>
        <v>#REF!</v>
      </c>
      <c r="F34" s="190" t="e">
        <f>IF(E34&gt;0,IF('Общие данные'!$B$15&gt;0,E34*'Общие данные'!$B$15,"Без НДС"),0)</f>
        <v>#REF!</v>
      </c>
      <c r="G34" s="194" t="e">
        <f t="shared" si="1"/>
        <v>#REF!</v>
      </c>
      <c r="H34" s="223" t="e">
        <f t="shared" si="3"/>
        <v>#REF!</v>
      </c>
      <c r="I34" s="194" t="e">
        <f t="shared" si="2"/>
        <v>#REF!</v>
      </c>
    </row>
    <row r="35" spans="1:9">
      <c r="A35" s="224" t="e">
        <f t="shared" si="4"/>
        <v>#REF!</v>
      </c>
      <c r="B35" s="185" t="e">
        <f t="shared" si="5"/>
        <v>#REF!</v>
      </c>
      <c r="C35" s="194" t="e">
        <f t="shared" si="6"/>
        <v>#REF!</v>
      </c>
      <c r="D35" s="225" t="e">
        <f t="shared" si="7"/>
        <v>#REF!</v>
      </c>
      <c r="E35" s="194" t="e">
        <f t="shared" si="0"/>
        <v>#REF!</v>
      </c>
      <c r="F35" s="190" t="e">
        <f>IF(E35&gt;0,IF('Общие данные'!$B$15&gt;0,E35*'Общие данные'!$B$15,"Без НДС"),0)</f>
        <v>#REF!</v>
      </c>
      <c r="G35" s="194" t="e">
        <f t="shared" si="1"/>
        <v>#REF!</v>
      </c>
      <c r="H35" s="223" t="e">
        <f t="shared" si="3"/>
        <v>#REF!</v>
      </c>
      <c r="I35" s="194" t="e">
        <f t="shared" si="2"/>
        <v>#REF!</v>
      </c>
    </row>
    <row r="36" spans="1:9">
      <c r="A36" s="224" t="e">
        <f t="shared" si="4"/>
        <v>#REF!</v>
      </c>
      <c r="B36" s="185" t="e">
        <f t="shared" si="5"/>
        <v>#REF!</v>
      </c>
      <c r="C36" s="194" t="e">
        <f t="shared" si="6"/>
        <v>#REF!</v>
      </c>
      <c r="D36" s="225" t="e">
        <f t="shared" si="7"/>
        <v>#REF!</v>
      </c>
      <c r="E36" s="194" t="e">
        <f t="shared" si="0"/>
        <v>#REF!</v>
      </c>
      <c r="F36" s="190" t="e">
        <f>IF(E36&gt;0,IF('Общие данные'!$B$15&gt;0,E36*'Общие данные'!$B$15,"Без НДС"),0)</f>
        <v>#REF!</v>
      </c>
      <c r="G36" s="194" t="e">
        <f t="shared" si="1"/>
        <v>#REF!</v>
      </c>
      <c r="H36" s="223" t="e">
        <f t="shared" si="3"/>
        <v>#REF!</v>
      </c>
      <c r="I36" s="194" t="e">
        <f t="shared" si="2"/>
        <v>#REF!</v>
      </c>
    </row>
    <row r="37" spans="1:9" hidden="1">
      <c r="A37" s="224" t="e">
        <f t="shared" si="4"/>
        <v>#REF!</v>
      </c>
      <c r="B37" s="185" t="e">
        <f t="shared" si="5"/>
        <v>#REF!</v>
      </c>
      <c r="C37" s="194" t="e">
        <f t="shared" si="6"/>
        <v>#REF!</v>
      </c>
      <c r="D37" s="225" t="e">
        <f t="shared" si="7"/>
        <v>#REF!</v>
      </c>
      <c r="E37" s="194" t="e">
        <f t="shared" si="0"/>
        <v>#REF!</v>
      </c>
      <c r="F37" s="190" t="e">
        <f>IF(E37&gt;0,IF('Общие данные'!$B$15&gt;0,E37*'Общие данные'!$B$15,"Без НДС"),0)</f>
        <v>#REF!</v>
      </c>
      <c r="G37" s="194" t="e">
        <f t="shared" si="1"/>
        <v>#REF!</v>
      </c>
      <c r="H37" s="223" t="e">
        <f t="shared" si="3"/>
        <v>#REF!</v>
      </c>
      <c r="I37" s="194" t="e">
        <f t="shared" si="2"/>
        <v>#REF!</v>
      </c>
    </row>
    <row r="38" spans="1:9" hidden="1">
      <c r="A38" s="224" t="e">
        <f t="shared" si="4"/>
        <v>#REF!</v>
      </c>
      <c r="B38" s="185" t="e">
        <f t="shared" si="5"/>
        <v>#REF!</v>
      </c>
      <c r="C38" s="194" t="e">
        <f t="shared" si="6"/>
        <v>#REF!</v>
      </c>
      <c r="D38" s="225" t="e">
        <f t="shared" si="7"/>
        <v>#REF!</v>
      </c>
      <c r="E38" s="194" t="e">
        <f t="shared" si="0"/>
        <v>#REF!</v>
      </c>
      <c r="F38" s="190" t="e">
        <f>IF(E38&gt;0,IF('Общие данные'!$B$15&gt;0,E38*'Общие данные'!$B$15,"Без НДС"),0)</f>
        <v>#REF!</v>
      </c>
      <c r="G38" s="194" t="e">
        <f t="shared" si="1"/>
        <v>#REF!</v>
      </c>
      <c r="H38" s="223" t="e">
        <f t="shared" si="3"/>
        <v>#REF!</v>
      </c>
      <c r="I38" s="194" t="e">
        <f t="shared" si="2"/>
        <v>#REF!</v>
      </c>
    </row>
    <row r="39" spans="1:9" hidden="1">
      <c r="A39" s="224" t="e">
        <f t="shared" si="4"/>
        <v>#REF!</v>
      </c>
      <c r="B39" s="185" t="e">
        <f t="shared" si="5"/>
        <v>#REF!</v>
      </c>
      <c r="C39" s="194" t="e">
        <f t="shared" si="6"/>
        <v>#REF!</v>
      </c>
      <c r="D39" s="225" t="e">
        <f t="shared" si="7"/>
        <v>#REF!</v>
      </c>
      <c r="E39" s="194" t="e">
        <f t="shared" si="0"/>
        <v>#REF!</v>
      </c>
      <c r="F39" s="190" t="e">
        <f>IF(E39&gt;0,IF('Общие данные'!$B$15&gt;0,E39*'Общие данные'!$B$15,"Без НДС"),0)</f>
        <v>#REF!</v>
      </c>
      <c r="G39" s="194" t="e">
        <f t="shared" si="1"/>
        <v>#REF!</v>
      </c>
      <c r="H39" s="223" t="e">
        <f t="shared" si="3"/>
        <v>#REF!</v>
      </c>
      <c r="I39" s="194" t="e">
        <f t="shared" si="2"/>
        <v>#REF!</v>
      </c>
    </row>
    <row r="40" spans="1:9" hidden="1">
      <c r="A40" s="224" t="e">
        <f t="shared" si="4"/>
        <v>#REF!</v>
      </c>
      <c r="B40" s="185" t="e">
        <f t="shared" si="5"/>
        <v>#REF!</v>
      </c>
      <c r="C40" s="194" t="e">
        <f t="shared" si="6"/>
        <v>#REF!</v>
      </c>
      <c r="D40" s="225" t="e">
        <f t="shared" si="7"/>
        <v>#REF!</v>
      </c>
      <c r="E40" s="194" t="e">
        <f t="shared" si="0"/>
        <v>#REF!</v>
      </c>
      <c r="F40" s="190" t="e">
        <f>IF(E40&gt;0,IF('Общие данные'!$B$15&gt;0,E40*'Общие данные'!$B$15,"Без НДС"),0)</f>
        <v>#REF!</v>
      </c>
      <c r="G40" s="194" t="e">
        <f t="shared" si="1"/>
        <v>#REF!</v>
      </c>
      <c r="H40" s="223" t="e">
        <f t="shared" si="3"/>
        <v>#REF!</v>
      </c>
      <c r="I40" s="194" t="e">
        <f t="shared" si="2"/>
        <v>#REF!</v>
      </c>
    </row>
    <row r="41" spans="1:9" hidden="1">
      <c r="A41" s="224" t="e">
        <f t="shared" si="4"/>
        <v>#REF!</v>
      </c>
      <c r="B41" s="185" t="e">
        <f t="shared" si="5"/>
        <v>#REF!</v>
      </c>
      <c r="C41" s="194" t="e">
        <f t="shared" si="6"/>
        <v>#REF!</v>
      </c>
      <c r="D41" s="225" t="e">
        <f t="shared" si="7"/>
        <v>#REF!</v>
      </c>
      <c r="E41" s="194" t="e">
        <f t="shared" si="0"/>
        <v>#REF!</v>
      </c>
      <c r="F41" s="190" t="e">
        <f>IF(E41&gt;0,IF('Общие данные'!$B$15&gt;0,E41*'Общие данные'!$B$15,"Без НДС"),0)</f>
        <v>#REF!</v>
      </c>
      <c r="G41" s="194" t="e">
        <f t="shared" si="1"/>
        <v>#REF!</v>
      </c>
      <c r="H41" s="223" t="e">
        <f t="shared" si="3"/>
        <v>#REF!</v>
      </c>
      <c r="I41" s="194" t="e">
        <f t="shared" si="2"/>
        <v>#REF!</v>
      </c>
    </row>
    <row r="42" spans="1:9" hidden="1">
      <c r="A42" s="224" t="e">
        <f t="shared" si="4"/>
        <v>#REF!</v>
      </c>
      <c r="B42" s="185" t="e">
        <f t="shared" si="5"/>
        <v>#REF!</v>
      </c>
      <c r="C42" s="194" t="e">
        <f t="shared" si="6"/>
        <v>#REF!</v>
      </c>
      <c r="D42" s="225" t="e">
        <f t="shared" si="7"/>
        <v>#REF!</v>
      </c>
      <c r="E42" s="194" t="e">
        <f t="shared" si="0"/>
        <v>#REF!</v>
      </c>
      <c r="F42" s="190" t="e">
        <f>IF(E42&gt;0,IF('Общие данные'!$B$15&gt;0,E42*'Общие данные'!$B$15,"Без НДС"),0)</f>
        <v>#REF!</v>
      </c>
      <c r="G42" s="194" t="e">
        <f t="shared" si="1"/>
        <v>#REF!</v>
      </c>
      <c r="H42" s="223" t="e">
        <f t="shared" si="3"/>
        <v>#REF!</v>
      </c>
      <c r="I42" s="194" t="e">
        <f t="shared" si="2"/>
        <v>#REF!</v>
      </c>
    </row>
    <row r="43" spans="1:9" hidden="1">
      <c r="A43" s="224" t="e">
        <f t="shared" si="4"/>
        <v>#REF!</v>
      </c>
      <c r="B43" s="185" t="e">
        <f t="shared" si="5"/>
        <v>#REF!</v>
      </c>
      <c r="C43" s="194" t="e">
        <f t="shared" si="6"/>
        <v>#REF!</v>
      </c>
      <c r="D43" s="225" t="e">
        <f t="shared" si="7"/>
        <v>#REF!</v>
      </c>
      <c r="E43" s="194" t="e">
        <f t="shared" si="0"/>
        <v>#REF!</v>
      </c>
      <c r="F43" s="190" t="e">
        <f>IF(E43&gt;0,IF('Общие данные'!$B$15&gt;0,E43*'Общие данные'!$B$15,"Без НДС"),0)</f>
        <v>#REF!</v>
      </c>
      <c r="G43" s="194" t="e">
        <f t="shared" si="1"/>
        <v>#REF!</v>
      </c>
      <c r="H43" s="223" t="e">
        <f t="shared" si="3"/>
        <v>#REF!</v>
      </c>
      <c r="I43" s="194" t="e">
        <f t="shared" si="2"/>
        <v>#REF!</v>
      </c>
    </row>
    <row r="44" spans="1:9" hidden="1">
      <c r="A44" s="224" t="e">
        <f t="shared" si="4"/>
        <v>#REF!</v>
      </c>
      <c r="B44" s="185" t="e">
        <f t="shared" si="5"/>
        <v>#REF!</v>
      </c>
      <c r="C44" s="194" t="e">
        <f t="shared" si="6"/>
        <v>#REF!</v>
      </c>
      <c r="D44" s="225" t="e">
        <f t="shared" si="7"/>
        <v>#REF!</v>
      </c>
      <c r="E44" s="194" t="e">
        <f t="shared" si="0"/>
        <v>#REF!</v>
      </c>
      <c r="F44" s="190" t="e">
        <f>IF(E44&gt;0,IF('Общие данные'!$B$15&gt;0,E44*'Общие данные'!$B$15,"Без НДС"),0)</f>
        <v>#REF!</v>
      </c>
      <c r="G44" s="194" t="e">
        <f t="shared" si="1"/>
        <v>#REF!</v>
      </c>
      <c r="H44" s="223" t="e">
        <f t="shared" si="3"/>
        <v>#REF!</v>
      </c>
      <c r="I44" s="194" t="e">
        <f t="shared" si="2"/>
        <v>#REF!</v>
      </c>
    </row>
    <row r="45" spans="1:9" hidden="1">
      <c r="A45" s="224" t="e">
        <f t="shared" si="4"/>
        <v>#REF!</v>
      </c>
      <c r="B45" s="185" t="e">
        <f t="shared" si="5"/>
        <v>#REF!</v>
      </c>
      <c r="C45" s="194" t="e">
        <f t="shared" si="6"/>
        <v>#REF!</v>
      </c>
      <c r="D45" s="225" t="e">
        <f t="shared" si="7"/>
        <v>#REF!</v>
      </c>
      <c r="E45" s="194" t="e">
        <f t="shared" si="0"/>
        <v>#REF!</v>
      </c>
      <c r="F45" s="190" t="e">
        <f>IF(E45&gt;0,IF('Общие данные'!$B$15&gt;0,E45*'Общие данные'!$B$15,"Без НДС"),0)</f>
        <v>#REF!</v>
      </c>
      <c r="G45" s="194" t="e">
        <f t="shared" si="1"/>
        <v>#REF!</v>
      </c>
      <c r="H45" s="223" t="e">
        <f t="shared" si="3"/>
        <v>#REF!</v>
      </c>
      <c r="I45" s="194" t="e">
        <f t="shared" si="2"/>
        <v>#REF!</v>
      </c>
    </row>
    <row r="46" spans="1:9" hidden="1">
      <c r="A46" s="224" t="e">
        <f t="shared" si="4"/>
        <v>#REF!</v>
      </c>
      <c r="B46" s="185" t="e">
        <f t="shared" si="5"/>
        <v>#REF!</v>
      </c>
      <c r="C46" s="194" t="e">
        <f t="shared" si="6"/>
        <v>#REF!</v>
      </c>
      <c r="D46" s="225" t="e">
        <f t="shared" si="7"/>
        <v>#REF!</v>
      </c>
      <c r="E46" s="194" t="e">
        <f t="shared" si="0"/>
        <v>#REF!</v>
      </c>
      <c r="F46" s="190" t="e">
        <f>IF(E46&gt;0,IF('Общие данные'!$B$15&gt;0,E46*'Общие данные'!$B$15,"Без НДС"),0)</f>
        <v>#REF!</v>
      </c>
      <c r="G46" s="194" t="e">
        <f t="shared" si="1"/>
        <v>#REF!</v>
      </c>
      <c r="H46" s="223" t="e">
        <f t="shared" si="3"/>
        <v>#REF!</v>
      </c>
      <c r="I46" s="194" t="e">
        <f t="shared" si="2"/>
        <v>#REF!</v>
      </c>
    </row>
    <row r="47" spans="1:9" hidden="1">
      <c r="A47" s="224" t="e">
        <f t="shared" si="4"/>
        <v>#REF!</v>
      </c>
      <c r="B47" s="185" t="e">
        <f t="shared" si="5"/>
        <v>#REF!</v>
      </c>
      <c r="C47" s="194" t="e">
        <f t="shared" si="6"/>
        <v>#REF!</v>
      </c>
      <c r="D47" s="225" t="e">
        <f t="shared" si="7"/>
        <v>#REF!</v>
      </c>
      <c r="E47" s="194" t="e">
        <f t="shared" si="0"/>
        <v>#REF!</v>
      </c>
      <c r="F47" s="190" t="e">
        <f>IF(E47&gt;0,IF('Общие данные'!$B$15&gt;0,E47*'Общие данные'!$B$15,"Без НДС"),0)</f>
        <v>#REF!</v>
      </c>
      <c r="G47" s="194" t="e">
        <f t="shared" si="1"/>
        <v>#REF!</v>
      </c>
      <c r="H47" s="223" t="e">
        <f t="shared" si="3"/>
        <v>#REF!</v>
      </c>
      <c r="I47" s="194" t="e">
        <f t="shared" si="2"/>
        <v>#REF!</v>
      </c>
    </row>
    <row r="48" spans="1:9" hidden="1">
      <c r="A48" s="224" t="e">
        <f t="shared" si="4"/>
        <v>#REF!</v>
      </c>
      <c r="B48" s="185" t="e">
        <f t="shared" si="5"/>
        <v>#REF!</v>
      </c>
      <c r="C48" s="194" t="e">
        <f t="shared" si="6"/>
        <v>#REF!</v>
      </c>
      <c r="D48" s="225" t="e">
        <f t="shared" si="7"/>
        <v>#REF!</v>
      </c>
      <c r="E48" s="194" t="e">
        <f t="shared" si="0"/>
        <v>#REF!</v>
      </c>
      <c r="F48" s="190" t="e">
        <f>IF(E48&gt;0,IF('Общие данные'!$B$15&gt;0,E48*'Общие данные'!$B$15,"Без НДС"),0)</f>
        <v>#REF!</v>
      </c>
      <c r="G48" s="194" t="e">
        <f t="shared" si="1"/>
        <v>#REF!</v>
      </c>
      <c r="H48" s="223" t="e">
        <f t="shared" si="3"/>
        <v>#REF!</v>
      </c>
      <c r="I48" s="194" t="e">
        <f t="shared" si="2"/>
        <v>#REF!</v>
      </c>
    </row>
    <row r="49" spans="1:9" hidden="1">
      <c r="A49" s="224" t="e">
        <f t="shared" si="4"/>
        <v>#REF!</v>
      </c>
      <c r="B49" s="185" t="e">
        <f t="shared" si="5"/>
        <v>#REF!</v>
      </c>
      <c r="C49" s="194" t="e">
        <f t="shared" si="6"/>
        <v>#REF!</v>
      </c>
      <c r="D49" s="225" t="e">
        <f t="shared" si="7"/>
        <v>#REF!</v>
      </c>
      <c r="E49" s="194" t="e">
        <f t="shared" si="0"/>
        <v>#REF!</v>
      </c>
      <c r="F49" s="190" t="e">
        <f>IF(E49&gt;0,IF('Общие данные'!$B$15&gt;0,E49*'Общие данные'!$B$15,"Без НДС"),0)</f>
        <v>#REF!</v>
      </c>
      <c r="G49" s="194" t="e">
        <f t="shared" si="1"/>
        <v>#REF!</v>
      </c>
      <c r="H49" s="223" t="e">
        <f t="shared" si="3"/>
        <v>#REF!</v>
      </c>
      <c r="I49" s="194" t="e">
        <f t="shared" si="2"/>
        <v>#REF!</v>
      </c>
    </row>
    <row r="50" spans="1:9" hidden="1">
      <c r="A50" s="224" t="e">
        <f t="shared" si="4"/>
        <v>#REF!</v>
      </c>
      <c r="B50" s="185" t="e">
        <f t="shared" si="5"/>
        <v>#REF!</v>
      </c>
      <c r="C50" s="194" t="e">
        <f t="shared" si="6"/>
        <v>#REF!</v>
      </c>
      <c r="D50" s="225" t="e">
        <f t="shared" si="7"/>
        <v>#REF!</v>
      </c>
      <c r="E50" s="194" t="e">
        <f t="shared" si="0"/>
        <v>#REF!</v>
      </c>
      <c r="F50" s="190" t="e">
        <f>IF(E50&gt;0,IF('Общие данные'!$B$15&gt;0,E50*'Общие данные'!$B$15,"Без НДС"),0)</f>
        <v>#REF!</v>
      </c>
      <c r="G50" s="194" t="e">
        <f t="shared" si="1"/>
        <v>#REF!</v>
      </c>
      <c r="H50" s="223" t="e">
        <f t="shared" si="3"/>
        <v>#REF!</v>
      </c>
      <c r="I50" s="194" t="e">
        <f t="shared" si="2"/>
        <v>#REF!</v>
      </c>
    </row>
    <row r="51" spans="1:9" hidden="1">
      <c r="A51" s="224" t="e">
        <f t="shared" si="4"/>
        <v>#REF!</v>
      </c>
      <c r="B51" s="185" t="e">
        <f t="shared" si="5"/>
        <v>#REF!</v>
      </c>
      <c r="C51" s="194" t="e">
        <f t="shared" si="6"/>
        <v>#REF!</v>
      </c>
      <c r="D51" s="225" t="e">
        <f t="shared" si="7"/>
        <v>#REF!</v>
      </c>
      <c r="E51" s="194" t="e">
        <f t="shared" si="0"/>
        <v>#REF!</v>
      </c>
      <c r="F51" s="190" t="e">
        <f>IF(E51&gt;0,IF('Общие данные'!$B$15&gt;0,E51*'Общие данные'!$B$15,"Без НДС"),0)</f>
        <v>#REF!</v>
      </c>
      <c r="G51" s="194" t="e">
        <f t="shared" si="1"/>
        <v>#REF!</v>
      </c>
      <c r="H51" s="223" t="e">
        <f t="shared" si="3"/>
        <v>#REF!</v>
      </c>
      <c r="I51" s="194" t="e">
        <f t="shared" si="2"/>
        <v>#REF!</v>
      </c>
    </row>
    <row r="52" spans="1:9" hidden="1">
      <c r="A52" s="224" t="e">
        <f t="shared" si="4"/>
        <v>#REF!</v>
      </c>
      <c r="B52" s="185" t="e">
        <f t="shared" si="5"/>
        <v>#REF!</v>
      </c>
      <c r="C52" s="194" t="e">
        <f t="shared" si="6"/>
        <v>#REF!</v>
      </c>
      <c r="D52" s="225" t="e">
        <f t="shared" si="7"/>
        <v>#REF!</v>
      </c>
      <c r="E52" s="194" t="e">
        <f t="shared" si="0"/>
        <v>#REF!</v>
      </c>
      <c r="F52" s="190" t="e">
        <f>IF(E52&gt;0,IF('Общие данные'!$B$15&gt;0,E52*'Общие данные'!$B$15,"Без НДС"),0)</f>
        <v>#REF!</v>
      </c>
      <c r="G52" s="194" t="e">
        <f t="shared" si="1"/>
        <v>#REF!</v>
      </c>
      <c r="H52" s="223" t="e">
        <f t="shared" si="3"/>
        <v>#REF!</v>
      </c>
      <c r="I52" s="194" t="e">
        <f t="shared" si="2"/>
        <v>#REF!</v>
      </c>
    </row>
    <row r="53" spans="1:9" hidden="1">
      <c r="A53" s="224" t="e">
        <f t="shared" si="4"/>
        <v>#REF!</v>
      </c>
      <c r="B53" s="185" t="e">
        <f t="shared" si="5"/>
        <v>#REF!</v>
      </c>
      <c r="C53" s="194" t="e">
        <f t="shared" si="6"/>
        <v>#REF!</v>
      </c>
      <c r="D53" s="225" t="e">
        <f t="shared" si="7"/>
        <v>#REF!</v>
      </c>
      <c r="E53" s="194" t="e">
        <f t="shared" si="0"/>
        <v>#REF!</v>
      </c>
      <c r="F53" s="190" t="e">
        <f>IF(E53&gt;0,IF('Общие данные'!$B$15&gt;0,E53*'Общие данные'!$B$15,"Без НДС"),0)</f>
        <v>#REF!</v>
      </c>
      <c r="G53" s="194" t="e">
        <f t="shared" si="1"/>
        <v>#REF!</v>
      </c>
      <c r="H53" s="223" t="e">
        <f t="shared" si="3"/>
        <v>#REF!</v>
      </c>
      <c r="I53" s="194" t="e">
        <f t="shared" si="2"/>
        <v>#REF!</v>
      </c>
    </row>
    <row r="54" spans="1:9" hidden="1">
      <c r="A54" s="224" t="e">
        <f t="shared" si="4"/>
        <v>#REF!</v>
      </c>
      <c r="B54" s="185" t="e">
        <f t="shared" si="5"/>
        <v>#REF!</v>
      </c>
      <c r="C54" s="194" t="e">
        <f t="shared" si="6"/>
        <v>#REF!</v>
      </c>
      <c r="D54" s="225" t="e">
        <f t="shared" si="7"/>
        <v>#REF!</v>
      </c>
      <c r="E54" s="194" t="e">
        <f t="shared" si="0"/>
        <v>#REF!</v>
      </c>
      <c r="F54" s="190" t="e">
        <f>IF(E54&gt;0,IF('Общие данные'!$B$15&gt;0,E54*'Общие данные'!$B$15,"Без НДС"),0)</f>
        <v>#REF!</v>
      </c>
      <c r="G54" s="194" t="e">
        <f t="shared" si="1"/>
        <v>#REF!</v>
      </c>
      <c r="H54" s="223" t="e">
        <f t="shared" si="3"/>
        <v>#REF!</v>
      </c>
      <c r="I54" s="194" t="e">
        <f t="shared" si="2"/>
        <v>#REF!</v>
      </c>
    </row>
    <row r="55" spans="1:9" hidden="1">
      <c r="A55" s="224" t="e">
        <f t="shared" si="4"/>
        <v>#REF!</v>
      </c>
      <c r="B55" s="185" t="e">
        <f t="shared" si="5"/>
        <v>#REF!</v>
      </c>
      <c r="C55" s="194" t="e">
        <f t="shared" si="6"/>
        <v>#REF!</v>
      </c>
      <c r="D55" s="225" t="e">
        <f t="shared" si="7"/>
        <v>#REF!</v>
      </c>
      <c r="E55" s="194" t="e">
        <f t="shared" si="0"/>
        <v>#REF!</v>
      </c>
      <c r="F55" s="190" t="e">
        <f>IF(E55&gt;0,IF('Общие данные'!$B$15&gt;0,E55*'Общие данные'!$B$15,"Без НДС"),0)</f>
        <v>#REF!</v>
      </c>
      <c r="G55" s="194" t="e">
        <f t="shared" si="1"/>
        <v>#REF!</v>
      </c>
      <c r="H55" s="223" t="e">
        <f t="shared" si="3"/>
        <v>#REF!</v>
      </c>
      <c r="I55" s="194" t="e">
        <f t="shared" si="2"/>
        <v>#REF!</v>
      </c>
    </row>
    <row r="56" spans="1:9" hidden="1">
      <c r="A56" s="224" t="e">
        <f t="shared" si="4"/>
        <v>#REF!</v>
      </c>
      <c r="B56" s="185" t="e">
        <f t="shared" si="5"/>
        <v>#REF!</v>
      </c>
      <c r="C56" s="194" t="e">
        <f t="shared" si="6"/>
        <v>#REF!</v>
      </c>
      <c r="D56" s="225" t="e">
        <f t="shared" si="7"/>
        <v>#REF!</v>
      </c>
      <c r="E56" s="194" t="e">
        <f t="shared" ref="E56:E87" si="8">IF(B56&gt;$E$8,0,ROUNDUP(C56*($E$15*12)*D56/$E$17,2))</f>
        <v>#REF!</v>
      </c>
      <c r="F56" s="190" t="e">
        <f>IF(E56&gt;0,IF('Общие данные'!$B$15&gt;0,E56*'Общие данные'!$B$15,"Без НДС"),0)</f>
        <v>#REF!</v>
      </c>
      <c r="G56" s="194" t="e">
        <f t="shared" ref="G56:G87" si="9">IF(B56=$E$8,C56-$E$12,IF(B56&gt;$E$19,IF(B56&gt;$E$8,0,(I56-E56)),0))</f>
        <v>#REF!</v>
      </c>
      <c r="H56" s="223" t="e">
        <f t="shared" si="3"/>
        <v>#REF!</v>
      </c>
      <c r="I56" s="194" t="e">
        <f t="shared" si="2"/>
        <v>#REF!</v>
      </c>
    </row>
    <row r="57" spans="1:9" hidden="1">
      <c r="A57" s="224" t="e">
        <f t="shared" si="4"/>
        <v>#REF!</v>
      </c>
      <c r="B57" s="185" t="e">
        <f t="shared" si="5"/>
        <v>#REF!</v>
      </c>
      <c r="C57" s="194" t="e">
        <f t="shared" si="6"/>
        <v>#REF!</v>
      </c>
      <c r="D57" s="225" t="e">
        <f t="shared" si="7"/>
        <v>#REF!</v>
      </c>
      <c r="E57" s="194" t="e">
        <f t="shared" si="8"/>
        <v>#REF!</v>
      </c>
      <c r="F57" s="190" t="e">
        <f>IF(E57&gt;0,IF('Общие данные'!$B$15&gt;0,E57*'Общие данные'!$B$15,"Без НДС"),0)</f>
        <v>#REF!</v>
      </c>
      <c r="G57" s="194" t="e">
        <f t="shared" si="9"/>
        <v>#REF!</v>
      </c>
      <c r="H57" s="223" t="e">
        <f t="shared" si="3"/>
        <v>#REF!</v>
      </c>
      <c r="I57" s="194" t="e">
        <f t="shared" si="2"/>
        <v>#REF!</v>
      </c>
    </row>
    <row r="58" spans="1:9" hidden="1">
      <c r="A58" s="224" t="e">
        <f t="shared" si="4"/>
        <v>#REF!</v>
      </c>
      <c r="B58" s="185" t="e">
        <f t="shared" si="5"/>
        <v>#REF!</v>
      </c>
      <c r="C58" s="194" t="e">
        <f t="shared" si="6"/>
        <v>#REF!</v>
      </c>
      <c r="D58" s="225" t="e">
        <f t="shared" si="7"/>
        <v>#REF!</v>
      </c>
      <c r="E58" s="194" t="e">
        <f t="shared" si="8"/>
        <v>#REF!</v>
      </c>
      <c r="F58" s="190" t="e">
        <f>IF(E58&gt;0,IF('Общие данные'!$B$15&gt;0,E58*'Общие данные'!$B$15,"Без НДС"),0)</f>
        <v>#REF!</v>
      </c>
      <c r="G58" s="194" t="e">
        <f t="shared" si="9"/>
        <v>#REF!</v>
      </c>
      <c r="H58" s="223" t="e">
        <f t="shared" si="3"/>
        <v>#REF!</v>
      </c>
      <c r="I58" s="194" t="e">
        <f t="shared" si="2"/>
        <v>#REF!</v>
      </c>
    </row>
    <row r="59" spans="1:9" hidden="1">
      <c r="A59" s="224" t="e">
        <f t="shared" si="4"/>
        <v>#REF!</v>
      </c>
      <c r="B59" s="185" t="e">
        <f t="shared" si="5"/>
        <v>#REF!</v>
      </c>
      <c r="C59" s="194" t="e">
        <f t="shared" si="6"/>
        <v>#REF!</v>
      </c>
      <c r="D59" s="225" t="e">
        <f t="shared" si="7"/>
        <v>#REF!</v>
      </c>
      <c r="E59" s="194" t="e">
        <f t="shared" si="8"/>
        <v>#REF!</v>
      </c>
      <c r="F59" s="190" t="e">
        <f>IF(E59&gt;0,IF('Общие данные'!$B$15&gt;0,E59*'Общие данные'!$B$15,"Без НДС"),0)</f>
        <v>#REF!</v>
      </c>
      <c r="G59" s="194" t="e">
        <f t="shared" si="9"/>
        <v>#REF!</v>
      </c>
      <c r="H59" s="223" t="e">
        <f t="shared" si="3"/>
        <v>#REF!</v>
      </c>
      <c r="I59" s="194" t="e">
        <f t="shared" si="2"/>
        <v>#REF!</v>
      </c>
    </row>
    <row r="60" spans="1:9" hidden="1">
      <c r="A60" s="224" t="e">
        <f>IF(B60&gt;$E$8,0,IF(B60=0,0,EDATE(A59,1)))</f>
        <v>#REF!</v>
      </c>
      <c r="B60" s="185" t="e">
        <f>IF(B59&gt;=$E$8,0,IF(B59=0,0,B59+1))</f>
        <v>#REF!</v>
      </c>
      <c r="C60" s="194" t="e">
        <f t="shared" si="6"/>
        <v>#REF!</v>
      </c>
      <c r="D60" s="225" t="e">
        <f t="shared" si="7"/>
        <v>#REF!</v>
      </c>
      <c r="E60" s="194" t="e">
        <f t="shared" si="8"/>
        <v>#REF!</v>
      </c>
      <c r="F60" s="190" t="e">
        <f>IF(E60&gt;0,IF('Общие данные'!$B$15&gt;0,E60*'Общие данные'!$B$15,"Без НДС"),0)</f>
        <v>#REF!</v>
      </c>
      <c r="G60" s="194" t="e">
        <f t="shared" si="9"/>
        <v>#REF!</v>
      </c>
      <c r="H60" s="223" t="e">
        <f t="shared" si="3"/>
        <v>#REF!</v>
      </c>
      <c r="I60" s="194" t="e">
        <f t="shared" ref="I60:I91" si="10">ROUNDUP(IF(B60&gt;$E$19,IF(B60=$E$8,(E60+G60),IF(B60&gt;$E$8,0,PMT($E$15,($E$8-$E$19),-($E$13-$E$11),$E$12,0))),E60),2)</f>
        <v>#REF!</v>
      </c>
    </row>
    <row r="61" spans="1:9" hidden="1">
      <c r="A61" s="224" t="e">
        <f t="shared" ref="A61:A124" si="11">IF(B61&gt;$E$8,0,IF(B61=0,0,EDATE(A60,1)))</f>
        <v>#REF!</v>
      </c>
      <c r="B61" s="185" t="e">
        <f t="shared" si="5"/>
        <v>#REF!</v>
      </c>
      <c r="C61" s="194" t="e">
        <f t="shared" si="6"/>
        <v>#REF!</v>
      </c>
      <c r="D61" s="225" t="e">
        <f t="shared" si="7"/>
        <v>#REF!</v>
      </c>
      <c r="E61" s="194" t="e">
        <f t="shared" si="8"/>
        <v>#REF!</v>
      </c>
      <c r="F61" s="190" t="e">
        <f>IF(E61&gt;0,IF('Общие данные'!$B$15&gt;0,E61*'Общие данные'!$B$15,"Без НДС"),0)</f>
        <v>#REF!</v>
      </c>
      <c r="G61" s="194" t="e">
        <f t="shared" si="9"/>
        <v>#REF!</v>
      </c>
      <c r="H61" s="223" t="e">
        <f t="shared" si="3"/>
        <v>#REF!</v>
      </c>
      <c r="I61" s="194" t="e">
        <f t="shared" si="10"/>
        <v>#REF!</v>
      </c>
    </row>
    <row r="62" spans="1:9" hidden="1">
      <c r="A62" s="224" t="e">
        <f t="shared" si="11"/>
        <v>#REF!</v>
      </c>
      <c r="B62" s="185" t="e">
        <f t="shared" si="5"/>
        <v>#REF!</v>
      </c>
      <c r="C62" s="194" t="e">
        <f t="shared" si="6"/>
        <v>#REF!</v>
      </c>
      <c r="D62" s="225" t="e">
        <f t="shared" si="7"/>
        <v>#REF!</v>
      </c>
      <c r="E62" s="194" t="e">
        <f t="shared" si="8"/>
        <v>#REF!</v>
      </c>
      <c r="F62" s="190" t="e">
        <f>IF(E62&gt;0,IF('Общие данные'!$B$15&gt;0,E62*'Общие данные'!$B$15,"Без НДС"),0)</f>
        <v>#REF!</v>
      </c>
      <c r="G62" s="194" t="e">
        <f t="shared" si="9"/>
        <v>#REF!</v>
      </c>
      <c r="H62" s="223" t="e">
        <f t="shared" si="3"/>
        <v>#REF!</v>
      </c>
      <c r="I62" s="194" t="e">
        <f t="shared" si="10"/>
        <v>#REF!</v>
      </c>
    </row>
    <row r="63" spans="1:9" hidden="1">
      <c r="A63" s="224" t="e">
        <f t="shared" si="11"/>
        <v>#REF!</v>
      </c>
      <c r="B63" s="185" t="e">
        <f t="shared" si="5"/>
        <v>#REF!</v>
      </c>
      <c r="C63" s="194" t="e">
        <f t="shared" si="6"/>
        <v>#REF!</v>
      </c>
      <c r="D63" s="225" t="e">
        <f t="shared" si="7"/>
        <v>#REF!</v>
      </c>
      <c r="E63" s="194" t="e">
        <f t="shared" si="8"/>
        <v>#REF!</v>
      </c>
      <c r="F63" s="190" t="e">
        <f>IF(E63&gt;0,IF('Общие данные'!$B$15&gt;0,E63*'Общие данные'!$B$15,"Без НДС"),0)</f>
        <v>#REF!</v>
      </c>
      <c r="G63" s="194" t="e">
        <f t="shared" si="9"/>
        <v>#REF!</v>
      </c>
      <c r="H63" s="223" t="e">
        <f t="shared" si="3"/>
        <v>#REF!</v>
      </c>
      <c r="I63" s="194" t="e">
        <f t="shared" si="10"/>
        <v>#REF!</v>
      </c>
    </row>
    <row r="64" spans="1:9" hidden="1">
      <c r="A64" s="224" t="e">
        <f t="shared" si="11"/>
        <v>#REF!</v>
      </c>
      <c r="B64" s="185" t="e">
        <f t="shared" si="5"/>
        <v>#REF!</v>
      </c>
      <c r="C64" s="194" t="e">
        <f t="shared" si="6"/>
        <v>#REF!</v>
      </c>
      <c r="D64" s="225" t="e">
        <f t="shared" si="7"/>
        <v>#REF!</v>
      </c>
      <c r="E64" s="194" t="e">
        <f t="shared" si="8"/>
        <v>#REF!</v>
      </c>
      <c r="F64" s="190" t="e">
        <f>IF(E64&gt;0,IF('Общие данные'!$B$15&gt;0,E64*'Общие данные'!$B$15,"Без НДС"),0)</f>
        <v>#REF!</v>
      </c>
      <c r="G64" s="194" t="e">
        <f t="shared" si="9"/>
        <v>#REF!</v>
      </c>
      <c r="H64" s="223" t="e">
        <f t="shared" si="3"/>
        <v>#REF!</v>
      </c>
      <c r="I64" s="194" t="e">
        <f t="shared" si="10"/>
        <v>#REF!</v>
      </c>
    </row>
    <row r="65" spans="1:9" hidden="1">
      <c r="A65" s="224" t="e">
        <f t="shared" si="11"/>
        <v>#REF!</v>
      </c>
      <c r="B65" s="185" t="e">
        <f t="shared" si="5"/>
        <v>#REF!</v>
      </c>
      <c r="C65" s="194" t="e">
        <f t="shared" si="6"/>
        <v>#REF!</v>
      </c>
      <c r="D65" s="225" t="e">
        <f t="shared" si="7"/>
        <v>#REF!</v>
      </c>
      <c r="E65" s="194" t="e">
        <f t="shared" si="8"/>
        <v>#REF!</v>
      </c>
      <c r="F65" s="190" t="e">
        <f>IF(E65&gt;0,IF('Общие данные'!$B$15&gt;0,E65*'Общие данные'!$B$15,"Без НДС"),0)</f>
        <v>#REF!</v>
      </c>
      <c r="G65" s="194" t="e">
        <f t="shared" si="9"/>
        <v>#REF!</v>
      </c>
      <c r="H65" s="223" t="e">
        <f t="shared" si="3"/>
        <v>#REF!</v>
      </c>
      <c r="I65" s="194" t="e">
        <f t="shared" si="10"/>
        <v>#REF!</v>
      </c>
    </row>
    <row r="66" spans="1:9" hidden="1">
      <c r="A66" s="224" t="e">
        <f t="shared" si="11"/>
        <v>#REF!</v>
      </c>
      <c r="B66" s="185" t="e">
        <f t="shared" si="5"/>
        <v>#REF!</v>
      </c>
      <c r="C66" s="194" t="e">
        <f t="shared" si="6"/>
        <v>#REF!</v>
      </c>
      <c r="D66" s="225" t="e">
        <f t="shared" si="7"/>
        <v>#REF!</v>
      </c>
      <c r="E66" s="194" t="e">
        <f t="shared" si="8"/>
        <v>#REF!</v>
      </c>
      <c r="F66" s="190" t="e">
        <f>IF(E66&gt;0,IF('Общие данные'!$B$15&gt;0,E66*'Общие данные'!$B$15,"Без НДС"),0)</f>
        <v>#REF!</v>
      </c>
      <c r="G66" s="194" t="e">
        <f t="shared" si="9"/>
        <v>#REF!</v>
      </c>
      <c r="H66" s="223" t="e">
        <f t="shared" si="3"/>
        <v>#REF!</v>
      </c>
      <c r="I66" s="194" t="e">
        <f t="shared" si="10"/>
        <v>#REF!</v>
      </c>
    </row>
    <row r="67" spans="1:9" hidden="1">
      <c r="A67" s="224" t="e">
        <f t="shared" si="11"/>
        <v>#REF!</v>
      </c>
      <c r="B67" s="185" t="e">
        <f t="shared" si="5"/>
        <v>#REF!</v>
      </c>
      <c r="C67" s="194" t="e">
        <f t="shared" si="6"/>
        <v>#REF!</v>
      </c>
      <c r="D67" s="225" t="e">
        <f t="shared" si="7"/>
        <v>#REF!</v>
      </c>
      <c r="E67" s="194" t="e">
        <f t="shared" si="8"/>
        <v>#REF!</v>
      </c>
      <c r="F67" s="190" t="e">
        <f>IF(E67&gt;0,IF('Общие данные'!$B$15&gt;0,E67*'Общие данные'!$B$15,"Без НДС"),0)</f>
        <v>#REF!</v>
      </c>
      <c r="G67" s="194" t="e">
        <f t="shared" si="9"/>
        <v>#REF!</v>
      </c>
      <c r="H67" s="223" t="e">
        <f t="shared" si="3"/>
        <v>#REF!</v>
      </c>
      <c r="I67" s="194" t="e">
        <f t="shared" si="10"/>
        <v>#REF!</v>
      </c>
    </row>
    <row r="68" spans="1:9" hidden="1">
      <c r="A68" s="224" t="e">
        <f t="shared" si="11"/>
        <v>#REF!</v>
      </c>
      <c r="B68" s="185" t="e">
        <f t="shared" si="5"/>
        <v>#REF!</v>
      </c>
      <c r="C68" s="194" t="e">
        <f t="shared" si="6"/>
        <v>#REF!</v>
      </c>
      <c r="D68" s="225" t="e">
        <f t="shared" si="7"/>
        <v>#REF!</v>
      </c>
      <c r="E68" s="194" t="e">
        <f t="shared" si="8"/>
        <v>#REF!</v>
      </c>
      <c r="F68" s="190" t="e">
        <f>IF(E68&gt;0,IF('Общие данные'!$B$15&gt;0,E68*'Общие данные'!$B$15,"Без НДС"),0)</f>
        <v>#REF!</v>
      </c>
      <c r="G68" s="194" t="e">
        <f t="shared" si="9"/>
        <v>#REF!</v>
      </c>
      <c r="H68" s="223" t="e">
        <f t="shared" si="3"/>
        <v>#REF!</v>
      </c>
      <c r="I68" s="194" t="e">
        <f t="shared" si="10"/>
        <v>#REF!</v>
      </c>
    </row>
    <row r="69" spans="1:9" hidden="1">
      <c r="A69" s="224" t="e">
        <f t="shared" si="11"/>
        <v>#REF!</v>
      </c>
      <c r="B69" s="185" t="e">
        <f t="shared" si="5"/>
        <v>#REF!</v>
      </c>
      <c r="C69" s="194" t="e">
        <f t="shared" si="6"/>
        <v>#REF!</v>
      </c>
      <c r="D69" s="225" t="e">
        <f t="shared" si="7"/>
        <v>#REF!</v>
      </c>
      <c r="E69" s="194" t="e">
        <f t="shared" si="8"/>
        <v>#REF!</v>
      </c>
      <c r="F69" s="190" t="e">
        <f>IF(E69&gt;0,IF('Общие данные'!$B$15&gt;0,E69*'Общие данные'!$B$15,"Без НДС"),0)</f>
        <v>#REF!</v>
      </c>
      <c r="G69" s="194" t="e">
        <f t="shared" si="9"/>
        <v>#REF!</v>
      </c>
      <c r="H69" s="223" t="e">
        <f t="shared" si="3"/>
        <v>#REF!</v>
      </c>
      <c r="I69" s="194" t="e">
        <f t="shared" si="10"/>
        <v>#REF!</v>
      </c>
    </row>
    <row r="70" spans="1:9" hidden="1">
      <c r="A70" s="224" t="e">
        <f t="shared" si="11"/>
        <v>#REF!</v>
      </c>
      <c r="B70" s="185" t="e">
        <f t="shared" si="5"/>
        <v>#REF!</v>
      </c>
      <c r="C70" s="194" t="e">
        <f t="shared" si="6"/>
        <v>#REF!</v>
      </c>
      <c r="D70" s="225" t="e">
        <f t="shared" si="7"/>
        <v>#REF!</v>
      </c>
      <c r="E70" s="194" t="e">
        <f t="shared" si="8"/>
        <v>#REF!</v>
      </c>
      <c r="F70" s="190" t="e">
        <f>IF(E70&gt;0,IF('Общие данные'!$B$15&gt;0,E70*'Общие данные'!$B$15,"Без НДС"),0)</f>
        <v>#REF!</v>
      </c>
      <c r="G70" s="194" t="e">
        <f t="shared" si="9"/>
        <v>#REF!</v>
      </c>
      <c r="H70" s="223" t="e">
        <f t="shared" si="3"/>
        <v>#REF!</v>
      </c>
      <c r="I70" s="194" t="e">
        <f t="shared" si="10"/>
        <v>#REF!</v>
      </c>
    </row>
    <row r="71" spans="1:9" hidden="1">
      <c r="A71" s="224" t="e">
        <f t="shared" si="11"/>
        <v>#REF!</v>
      </c>
      <c r="B71" s="185" t="e">
        <f t="shared" si="5"/>
        <v>#REF!</v>
      </c>
      <c r="C71" s="194" t="e">
        <f t="shared" si="6"/>
        <v>#REF!</v>
      </c>
      <c r="D71" s="225" t="e">
        <f t="shared" si="7"/>
        <v>#REF!</v>
      </c>
      <c r="E71" s="194" t="e">
        <f t="shared" si="8"/>
        <v>#REF!</v>
      </c>
      <c r="F71" s="190" t="e">
        <f>IF(E71&gt;0,IF('Общие данные'!$B$15&gt;0,E71*'Общие данные'!$B$15,"Без НДС"),0)</f>
        <v>#REF!</v>
      </c>
      <c r="G71" s="194" t="e">
        <f t="shared" si="9"/>
        <v>#REF!</v>
      </c>
      <c r="H71" s="223" t="e">
        <f t="shared" si="3"/>
        <v>#REF!</v>
      </c>
      <c r="I71" s="194" t="e">
        <f t="shared" si="10"/>
        <v>#REF!</v>
      </c>
    </row>
    <row r="72" spans="1:9" hidden="1">
      <c r="A72" s="224" t="e">
        <f t="shared" si="11"/>
        <v>#REF!</v>
      </c>
      <c r="B72" s="185" t="e">
        <f t="shared" si="5"/>
        <v>#REF!</v>
      </c>
      <c r="C72" s="194" t="e">
        <f t="shared" si="6"/>
        <v>#REF!</v>
      </c>
      <c r="D72" s="225" t="e">
        <f t="shared" si="7"/>
        <v>#REF!</v>
      </c>
      <c r="E72" s="194" t="e">
        <f t="shared" si="8"/>
        <v>#REF!</v>
      </c>
      <c r="F72" s="190" t="e">
        <f>IF(E72&gt;0,IF('Общие данные'!$B$15&gt;0,E72*'Общие данные'!$B$15,"Без НДС"),0)</f>
        <v>#REF!</v>
      </c>
      <c r="G72" s="194" t="e">
        <f t="shared" si="9"/>
        <v>#REF!</v>
      </c>
      <c r="H72" s="223" t="e">
        <f t="shared" si="3"/>
        <v>#REF!</v>
      </c>
      <c r="I72" s="194" t="e">
        <f t="shared" si="10"/>
        <v>#REF!</v>
      </c>
    </row>
    <row r="73" spans="1:9" hidden="1">
      <c r="A73" s="224" t="e">
        <f t="shared" si="11"/>
        <v>#REF!</v>
      </c>
      <c r="B73" s="185" t="e">
        <f t="shared" si="5"/>
        <v>#REF!</v>
      </c>
      <c r="C73" s="194" t="e">
        <f t="shared" si="6"/>
        <v>#REF!</v>
      </c>
      <c r="D73" s="225" t="e">
        <f t="shared" si="7"/>
        <v>#REF!</v>
      </c>
      <c r="E73" s="194" t="e">
        <f t="shared" si="8"/>
        <v>#REF!</v>
      </c>
      <c r="F73" s="190" t="e">
        <f>IF(E73&gt;0,IF('Общие данные'!$B$15&gt;0,E73*'Общие данные'!$B$15,"Без НДС"),0)</f>
        <v>#REF!</v>
      </c>
      <c r="G73" s="194" t="e">
        <f t="shared" si="9"/>
        <v>#REF!</v>
      </c>
      <c r="H73" s="223" t="e">
        <f t="shared" si="3"/>
        <v>#REF!</v>
      </c>
      <c r="I73" s="194" t="e">
        <f t="shared" si="10"/>
        <v>#REF!</v>
      </c>
    </row>
    <row r="74" spans="1:9" hidden="1">
      <c r="A74" s="224" t="e">
        <f t="shared" si="11"/>
        <v>#REF!</v>
      </c>
      <c r="B74" s="185" t="e">
        <f t="shared" si="5"/>
        <v>#REF!</v>
      </c>
      <c r="C74" s="194" t="e">
        <f t="shared" si="6"/>
        <v>#REF!</v>
      </c>
      <c r="D74" s="225" t="e">
        <f t="shared" si="7"/>
        <v>#REF!</v>
      </c>
      <c r="E74" s="194" t="e">
        <f t="shared" si="8"/>
        <v>#REF!</v>
      </c>
      <c r="F74" s="190" t="e">
        <f>IF(E74&gt;0,IF('Общие данные'!$B$15&gt;0,E74*'Общие данные'!$B$15,"Без НДС"),0)</f>
        <v>#REF!</v>
      </c>
      <c r="G74" s="194" t="e">
        <f t="shared" si="9"/>
        <v>#REF!</v>
      </c>
      <c r="H74" s="223" t="e">
        <f t="shared" si="3"/>
        <v>#REF!</v>
      </c>
      <c r="I74" s="194" t="e">
        <f t="shared" si="10"/>
        <v>#REF!</v>
      </c>
    </row>
    <row r="75" spans="1:9" hidden="1">
      <c r="A75" s="224" t="e">
        <f t="shared" si="11"/>
        <v>#REF!</v>
      </c>
      <c r="B75" s="185" t="e">
        <f t="shared" si="5"/>
        <v>#REF!</v>
      </c>
      <c r="C75" s="194" t="e">
        <f t="shared" si="6"/>
        <v>#REF!</v>
      </c>
      <c r="D75" s="225" t="e">
        <f t="shared" si="7"/>
        <v>#REF!</v>
      </c>
      <c r="E75" s="194" t="e">
        <f t="shared" si="8"/>
        <v>#REF!</v>
      </c>
      <c r="F75" s="190" t="e">
        <f>IF(E75&gt;0,IF('Общие данные'!$B$15&gt;0,E75*'Общие данные'!$B$15,"Без НДС"),0)</f>
        <v>#REF!</v>
      </c>
      <c r="G75" s="194" t="e">
        <f t="shared" si="9"/>
        <v>#REF!</v>
      </c>
      <c r="H75" s="223" t="e">
        <f t="shared" si="3"/>
        <v>#REF!</v>
      </c>
      <c r="I75" s="194" t="e">
        <f t="shared" si="10"/>
        <v>#REF!</v>
      </c>
    </row>
    <row r="76" spans="1:9" hidden="1">
      <c r="A76" s="224" t="e">
        <f t="shared" si="11"/>
        <v>#REF!</v>
      </c>
      <c r="B76" s="185" t="e">
        <f t="shared" si="5"/>
        <v>#REF!</v>
      </c>
      <c r="C76" s="194" t="e">
        <f t="shared" si="6"/>
        <v>#REF!</v>
      </c>
      <c r="D76" s="225" t="e">
        <f t="shared" si="7"/>
        <v>#REF!</v>
      </c>
      <c r="E76" s="194" t="e">
        <f t="shared" si="8"/>
        <v>#REF!</v>
      </c>
      <c r="F76" s="190" t="e">
        <f>IF(E76&gt;0,IF('Общие данные'!$B$15&gt;0,E76*'Общие данные'!$B$15,"Без НДС"),0)</f>
        <v>#REF!</v>
      </c>
      <c r="G76" s="194" t="e">
        <f t="shared" si="9"/>
        <v>#REF!</v>
      </c>
      <c r="H76" s="223" t="e">
        <f t="shared" si="3"/>
        <v>#REF!</v>
      </c>
      <c r="I76" s="194" t="e">
        <f t="shared" si="10"/>
        <v>#REF!</v>
      </c>
    </row>
    <row r="77" spans="1:9" hidden="1">
      <c r="A77" s="224" t="e">
        <f t="shared" si="11"/>
        <v>#REF!</v>
      </c>
      <c r="B77" s="185" t="e">
        <f t="shared" si="5"/>
        <v>#REF!</v>
      </c>
      <c r="C77" s="194" t="e">
        <f t="shared" si="6"/>
        <v>#REF!</v>
      </c>
      <c r="D77" s="225" t="e">
        <f t="shared" si="7"/>
        <v>#REF!</v>
      </c>
      <c r="E77" s="194" t="e">
        <f t="shared" si="8"/>
        <v>#REF!</v>
      </c>
      <c r="F77" s="190" t="e">
        <f>IF(E77&gt;0,IF('Общие данные'!$B$15&gt;0,E77*'Общие данные'!$B$15,"Без НДС"),0)</f>
        <v>#REF!</v>
      </c>
      <c r="G77" s="194" t="e">
        <f t="shared" si="9"/>
        <v>#REF!</v>
      </c>
      <c r="H77" s="223" t="e">
        <f t="shared" si="3"/>
        <v>#REF!</v>
      </c>
      <c r="I77" s="194" t="e">
        <f t="shared" si="10"/>
        <v>#REF!</v>
      </c>
    </row>
    <row r="78" spans="1:9" hidden="1">
      <c r="A78" s="224" t="e">
        <f t="shared" si="11"/>
        <v>#REF!</v>
      </c>
      <c r="B78" s="185" t="e">
        <f t="shared" si="5"/>
        <v>#REF!</v>
      </c>
      <c r="C78" s="194" t="e">
        <f t="shared" si="6"/>
        <v>#REF!</v>
      </c>
      <c r="D78" s="225" t="e">
        <f t="shared" si="7"/>
        <v>#REF!</v>
      </c>
      <c r="E78" s="194" t="e">
        <f t="shared" si="8"/>
        <v>#REF!</v>
      </c>
      <c r="F78" s="190" t="e">
        <f>IF(E78&gt;0,IF('Общие данные'!$B$15&gt;0,E78*'Общие данные'!$B$15,"Без НДС"),0)</f>
        <v>#REF!</v>
      </c>
      <c r="G78" s="194" t="e">
        <f t="shared" si="9"/>
        <v>#REF!</v>
      </c>
      <c r="H78" s="223" t="e">
        <f t="shared" si="3"/>
        <v>#REF!</v>
      </c>
      <c r="I78" s="194" t="e">
        <f t="shared" si="10"/>
        <v>#REF!</v>
      </c>
    </row>
    <row r="79" spans="1:9" hidden="1">
      <c r="A79" s="224" t="e">
        <f t="shared" si="11"/>
        <v>#REF!</v>
      </c>
      <c r="B79" s="185" t="e">
        <f t="shared" si="5"/>
        <v>#REF!</v>
      </c>
      <c r="C79" s="194" t="e">
        <f t="shared" si="6"/>
        <v>#REF!</v>
      </c>
      <c r="D79" s="225" t="e">
        <f t="shared" si="7"/>
        <v>#REF!</v>
      </c>
      <c r="E79" s="194" t="e">
        <f t="shared" si="8"/>
        <v>#REF!</v>
      </c>
      <c r="F79" s="190" t="e">
        <f>IF(E79&gt;0,IF('Общие данные'!$B$15&gt;0,E79*'Общие данные'!$B$15,"Без НДС"),0)</f>
        <v>#REF!</v>
      </c>
      <c r="G79" s="194" t="e">
        <f t="shared" si="9"/>
        <v>#REF!</v>
      </c>
      <c r="H79" s="223" t="e">
        <f t="shared" si="3"/>
        <v>#REF!</v>
      </c>
      <c r="I79" s="194" t="e">
        <f t="shared" si="10"/>
        <v>#REF!</v>
      </c>
    </row>
    <row r="80" spans="1:9" hidden="1">
      <c r="A80" s="224" t="e">
        <f t="shared" si="11"/>
        <v>#REF!</v>
      </c>
      <c r="B80" s="185" t="e">
        <f t="shared" si="5"/>
        <v>#REF!</v>
      </c>
      <c r="C80" s="194" t="e">
        <f t="shared" si="6"/>
        <v>#REF!</v>
      </c>
      <c r="D80" s="225" t="e">
        <f t="shared" si="7"/>
        <v>#REF!</v>
      </c>
      <c r="E80" s="194" t="e">
        <f t="shared" si="8"/>
        <v>#REF!</v>
      </c>
      <c r="F80" s="190" t="e">
        <f>IF(E80&gt;0,IF('Общие данные'!$B$15&gt;0,E80*'Общие данные'!$B$15,"Без НДС"),0)</f>
        <v>#REF!</v>
      </c>
      <c r="G80" s="194" t="e">
        <f t="shared" si="9"/>
        <v>#REF!</v>
      </c>
      <c r="H80" s="223" t="e">
        <f t="shared" si="3"/>
        <v>#REF!</v>
      </c>
      <c r="I80" s="194" t="e">
        <f t="shared" si="10"/>
        <v>#REF!</v>
      </c>
    </row>
    <row r="81" spans="1:9" hidden="1">
      <c r="A81" s="224" t="e">
        <f t="shared" si="11"/>
        <v>#REF!</v>
      </c>
      <c r="B81" s="185" t="e">
        <f t="shared" si="5"/>
        <v>#REF!</v>
      </c>
      <c r="C81" s="194" t="e">
        <f t="shared" si="6"/>
        <v>#REF!</v>
      </c>
      <c r="D81" s="225" t="e">
        <f t="shared" si="7"/>
        <v>#REF!</v>
      </c>
      <c r="E81" s="194" t="e">
        <f t="shared" si="8"/>
        <v>#REF!</v>
      </c>
      <c r="F81" s="190" t="e">
        <f>IF(E81&gt;0,IF('Общие данные'!$B$15&gt;0,E81*'Общие данные'!$B$15,"Без НДС"),0)</f>
        <v>#REF!</v>
      </c>
      <c r="G81" s="194" t="e">
        <f t="shared" si="9"/>
        <v>#REF!</v>
      </c>
      <c r="H81" s="223" t="e">
        <f t="shared" si="3"/>
        <v>#REF!</v>
      </c>
      <c r="I81" s="194" t="e">
        <f t="shared" si="10"/>
        <v>#REF!</v>
      </c>
    </row>
    <row r="82" spans="1:9" hidden="1">
      <c r="A82" s="224" t="e">
        <f t="shared" si="11"/>
        <v>#REF!</v>
      </c>
      <c r="B82" s="185" t="e">
        <f t="shared" si="5"/>
        <v>#REF!</v>
      </c>
      <c r="C82" s="194" t="e">
        <f t="shared" si="6"/>
        <v>#REF!</v>
      </c>
      <c r="D82" s="225" t="e">
        <f t="shared" si="7"/>
        <v>#REF!</v>
      </c>
      <c r="E82" s="194" t="e">
        <f t="shared" si="8"/>
        <v>#REF!</v>
      </c>
      <c r="F82" s="190" t="e">
        <f>IF(E82&gt;0,IF('Общие данные'!$B$15&gt;0,E82*'Общие данные'!$B$15,"Без НДС"),0)</f>
        <v>#REF!</v>
      </c>
      <c r="G82" s="194" t="e">
        <f t="shared" si="9"/>
        <v>#REF!</v>
      </c>
      <c r="H82" s="223" t="e">
        <f t="shared" si="3"/>
        <v>#REF!</v>
      </c>
      <c r="I82" s="194" t="e">
        <f t="shared" si="10"/>
        <v>#REF!</v>
      </c>
    </row>
    <row r="83" spans="1:9" hidden="1">
      <c r="A83" s="224" t="e">
        <f t="shared" si="11"/>
        <v>#REF!</v>
      </c>
      <c r="B83" s="185" t="e">
        <f t="shared" si="5"/>
        <v>#REF!</v>
      </c>
      <c r="C83" s="194" t="e">
        <f t="shared" si="6"/>
        <v>#REF!</v>
      </c>
      <c r="D83" s="225" t="e">
        <f t="shared" si="7"/>
        <v>#REF!</v>
      </c>
      <c r="E83" s="194" t="e">
        <f t="shared" si="8"/>
        <v>#REF!</v>
      </c>
      <c r="F83" s="190" t="e">
        <f>IF(E83&gt;0,IF('Общие данные'!$B$15&gt;0,E83*'Общие данные'!$B$15,"Без НДС"),0)</f>
        <v>#REF!</v>
      </c>
      <c r="G83" s="194" t="e">
        <f t="shared" si="9"/>
        <v>#REF!</v>
      </c>
      <c r="H83" s="223" t="e">
        <f t="shared" si="3"/>
        <v>#REF!</v>
      </c>
      <c r="I83" s="194" t="e">
        <f t="shared" si="10"/>
        <v>#REF!</v>
      </c>
    </row>
    <row r="84" spans="1:9" hidden="1">
      <c r="A84" s="224" t="e">
        <f t="shared" si="11"/>
        <v>#REF!</v>
      </c>
      <c r="B84" s="185" t="e">
        <f t="shared" si="5"/>
        <v>#REF!</v>
      </c>
      <c r="C84" s="194" t="e">
        <f t="shared" si="6"/>
        <v>#REF!</v>
      </c>
      <c r="D84" s="225" t="e">
        <f t="shared" si="7"/>
        <v>#REF!</v>
      </c>
      <c r="E84" s="194" t="e">
        <f t="shared" si="8"/>
        <v>#REF!</v>
      </c>
      <c r="F84" s="190" t="e">
        <f>IF(E84&gt;0,IF('Общие данные'!$B$15&gt;0,E84*'Общие данные'!$B$15,"Без НДС"),0)</f>
        <v>#REF!</v>
      </c>
      <c r="G84" s="194" t="e">
        <f t="shared" si="9"/>
        <v>#REF!</v>
      </c>
      <c r="H84" s="223" t="e">
        <f t="shared" si="3"/>
        <v>#REF!</v>
      </c>
      <c r="I84" s="194" t="e">
        <f t="shared" si="10"/>
        <v>#REF!</v>
      </c>
    </row>
    <row r="85" spans="1:9" hidden="1">
      <c r="A85" s="224" t="e">
        <f t="shared" si="11"/>
        <v>#REF!</v>
      </c>
      <c r="B85" s="185" t="e">
        <f t="shared" si="5"/>
        <v>#REF!</v>
      </c>
      <c r="C85" s="194" t="e">
        <f t="shared" si="6"/>
        <v>#REF!</v>
      </c>
      <c r="D85" s="225" t="e">
        <f t="shared" si="7"/>
        <v>#REF!</v>
      </c>
      <c r="E85" s="194" t="e">
        <f t="shared" si="8"/>
        <v>#REF!</v>
      </c>
      <c r="F85" s="190" t="e">
        <f>IF(E85&gt;0,IF('Общие данные'!$B$15&gt;0,E85*'Общие данные'!$B$15,"Без НДС"),0)</f>
        <v>#REF!</v>
      </c>
      <c r="G85" s="194" t="e">
        <f t="shared" si="9"/>
        <v>#REF!</v>
      </c>
      <c r="H85" s="223" t="e">
        <f t="shared" si="3"/>
        <v>#REF!</v>
      </c>
      <c r="I85" s="194" t="e">
        <f t="shared" si="10"/>
        <v>#REF!</v>
      </c>
    </row>
    <row r="86" spans="1:9" hidden="1">
      <c r="A86" s="224" t="e">
        <f t="shared" si="11"/>
        <v>#REF!</v>
      </c>
      <c r="B86" s="185" t="e">
        <f t="shared" si="5"/>
        <v>#REF!</v>
      </c>
      <c r="C86" s="194" t="e">
        <f t="shared" si="6"/>
        <v>#REF!</v>
      </c>
      <c r="D86" s="225" t="e">
        <f t="shared" si="7"/>
        <v>#REF!</v>
      </c>
      <c r="E86" s="194" t="e">
        <f t="shared" si="8"/>
        <v>#REF!</v>
      </c>
      <c r="F86" s="190" t="e">
        <f>IF(E86&gt;0,IF('Общие данные'!$B$15&gt;0,E86*'Общие данные'!$B$15,"Без НДС"),0)</f>
        <v>#REF!</v>
      </c>
      <c r="G86" s="194" t="e">
        <f t="shared" si="9"/>
        <v>#REF!</v>
      </c>
      <c r="H86" s="223" t="e">
        <f t="shared" si="3"/>
        <v>#REF!</v>
      </c>
      <c r="I86" s="194" t="e">
        <f t="shared" si="10"/>
        <v>#REF!</v>
      </c>
    </row>
    <row r="87" spans="1:9" hidden="1">
      <c r="A87" s="224" t="e">
        <f t="shared" si="11"/>
        <v>#REF!</v>
      </c>
      <c r="B87" s="185" t="e">
        <f t="shared" si="5"/>
        <v>#REF!</v>
      </c>
      <c r="C87" s="194" t="e">
        <f t="shared" si="6"/>
        <v>#REF!</v>
      </c>
      <c r="D87" s="225" t="e">
        <f t="shared" si="7"/>
        <v>#REF!</v>
      </c>
      <c r="E87" s="194" t="e">
        <f t="shared" si="8"/>
        <v>#REF!</v>
      </c>
      <c r="F87" s="190" t="e">
        <f>IF(E87&gt;0,IF('Общие данные'!$B$15&gt;0,E87*'Общие данные'!$B$15,"Без НДС"),0)</f>
        <v>#REF!</v>
      </c>
      <c r="G87" s="194" t="e">
        <f t="shared" si="9"/>
        <v>#REF!</v>
      </c>
      <c r="H87" s="223" t="e">
        <f t="shared" si="3"/>
        <v>#REF!</v>
      </c>
      <c r="I87" s="194" t="e">
        <f t="shared" si="10"/>
        <v>#REF!</v>
      </c>
    </row>
    <row r="88" spans="1:9" hidden="1">
      <c r="A88" s="224" t="e">
        <f t="shared" si="11"/>
        <v>#REF!</v>
      </c>
      <c r="B88" s="185" t="e">
        <f t="shared" si="5"/>
        <v>#REF!</v>
      </c>
      <c r="C88" s="194" t="e">
        <f t="shared" si="6"/>
        <v>#REF!</v>
      </c>
      <c r="D88" s="225" t="e">
        <f t="shared" si="7"/>
        <v>#REF!</v>
      </c>
      <c r="E88" s="194" t="e">
        <f t="shared" ref="E88:E119" si="12">IF(B88&gt;$E$8,0,ROUNDUP(C88*($E$15*12)*D88/$E$17,2))</f>
        <v>#REF!</v>
      </c>
      <c r="F88" s="190" t="e">
        <f>IF(E88&gt;0,IF('Общие данные'!$B$15&gt;0,E88*'Общие данные'!$B$15,"Без НДС"),0)</f>
        <v>#REF!</v>
      </c>
      <c r="G88" s="194" t="e">
        <f t="shared" ref="G88:G119" si="13">IF(B88=$E$8,C88-$E$12,IF(B88&gt;$E$19,IF(B88&gt;$E$8,0,(I88-E88)),0))</f>
        <v>#REF!</v>
      </c>
      <c r="H88" s="223" t="e">
        <f t="shared" si="3"/>
        <v>#REF!</v>
      </c>
      <c r="I88" s="194" t="e">
        <f t="shared" si="10"/>
        <v>#REF!</v>
      </c>
    </row>
    <row r="89" spans="1:9" hidden="1">
      <c r="A89" s="224" t="e">
        <f t="shared" si="11"/>
        <v>#REF!</v>
      </c>
      <c r="B89" s="185" t="e">
        <f t="shared" si="5"/>
        <v>#REF!</v>
      </c>
      <c r="C89" s="194" t="e">
        <f t="shared" si="6"/>
        <v>#REF!</v>
      </c>
      <c r="D89" s="225" t="e">
        <f t="shared" si="7"/>
        <v>#REF!</v>
      </c>
      <c r="E89" s="194" t="e">
        <f t="shared" si="12"/>
        <v>#REF!</v>
      </c>
      <c r="F89" s="190" t="e">
        <f>IF(E89&gt;0,IF('Общие данные'!$B$15&gt;0,E89*'Общие данные'!$B$15,"Без НДС"),0)</f>
        <v>#REF!</v>
      </c>
      <c r="G89" s="194" t="e">
        <f t="shared" si="13"/>
        <v>#REF!</v>
      </c>
      <c r="H89" s="223" t="e">
        <f t="shared" ref="H89:H143" si="14">G89*20/120</f>
        <v>#REF!</v>
      </c>
      <c r="I89" s="194" t="e">
        <f t="shared" si="10"/>
        <v>#REF!</v>
      </c>
    </row>
    <row r="90" spans="1:9" hidden="1">
      <c r="A90" s="224" t="e">
        <f t="shared" si="11"/>
        <v>#REF!</v>
      </c>
      <c r="B90" s="185" t="e">
        <f t="shared" ref="B90:B143" si="15">IF(B89&gt;=$E$8,0,IF(B89=0,0,B89+1))</f>
        <v>#REF!</v>
      </c>
      <c r="C90" s="194" t="e">
        <f t="shared" ref="C90:C143" si="16">IF(B90&gt;$E$8,0,IF(B89+1&gt;$E$8,0,C89-G89))</f>
        <v>#REF!</v>
      </c>
      <c r="D90" s="225" t="e">
        <f t="shared" ref="D90:D143" si="17">IF(B89+1&gt;$E$8,0,D89)</f>
        <v>#REF!</v>
      </c>
      <c r="E90" s="194" t="e">
        <f t="shared" si="12"/>
        <v>#REF!</v>
      </c>
      <c r="F90" s="190" t="e">
        <f>IF(E90&gt;0,IF('Общие данные'!$B$15&gt;0,E90*'Общие данные'!$B$15,"Без НДС"),0)</f>
        <v>#REF!</v>
      </c>
      <c r="G90" s="194" t="e">
        <f t="shared" si="13"/>
        <v>#REF!</v>
      </c>
      <c r="H90" s="223" t="e">
        <f t="shared" si="14"/>
        <v>#REF!</v>
      </c>
      <c r="I90" s="194" t="e">
        <f t="shared" si="10"/>
        <v>#REF!</v>
      </c>
    </row>
    <row r="91" spans="1:9" hidden="1">
      <c r="A91" s="224" t="e">
        <f t="shared" si="11"/>
        <v>#REF!</v>
      </c>
      <c r="B91" s="185" t="e">
        <f t="shared" si="15"/>
        <v>#REF!</v>
      </c>
      <c r="C91" s="194" t="e">
        <f t="shared" si="16"/>
        <v>#REF!</v>
      </c>
      <c r="D91" s="225" t="e">
        <f t="shared" si="17"/>
        <v>#REF!</v>
      </c>
      <c r="E91" s="194" t="e">
        <f t="shared" si="12"/>
        <v>#REF!</v>
      </c>
      <c r="F91" s="190" t="e">
        <f>IF(E91&gt;0,IF('Общие данные'!$B$15&gt;0,E91*'Общие данные'!$B$15,"Без НДС"),0)</f>
        <v>#REF!</v>
      </c>
      <c r="G91" s="194" t="e">
        <f t="shared" si="13"/>
        <v>#REF!</v>
      </c>
      <c r="H91" s="223" t="e">
        <f t="shared" si="14"/>
        <v>#REF!</v>
      </c>
      <c r="I91" s="194" t="e">
        <f t="shared" si="10"/>
        <v>#REF!</v>
      </c>
    </row>
    <row r="92" spans="1:9" hidden="1">
      <c r="A92" s="224" t="e">
        <f t="shared" si="11"/>
        <v>#REF!</v>
      </c>
      <c r="B92" s="185" t="e">
        <f t="shared" si="15"/>
        <v>#REF!</v>
      </c>
      <c r="C92" s="194" t="e">
        <f t="shared" si="16"/>
        <v>#REF!</v>
      </c>
      <c r="D92" s="225" t="e">
        <f t="shared" si="17"/>
        <v>#REF!</v>
      </c>
      <c r="E92" s="194" t="e">
        <f t="shared" si="12"/>
        <v>#REF!</v>
      </c>
      <c r="F92" s="190" t="e">
        <f>IF(E92&gt;0,IF('Общие данные'!$B$15&gt;0,E92*'Общие данные'!$B$15,"Без НДС"),0)</f>
        <v>#REF!</v>
      </c>
      <c r="G92" s="194" t="e">
        <f t="shared" si="13"/>
        <v>#REF!</v>
      </c>
      <c r="H92" s="223" t="e">
        <f t="shared" si="14"/>
        <v>#REF!</v>
      </c>
      <c r="I92" s="194" t="e">
        <f t="shared" ref="I92:I123" si="18">ROUNDUP(IF(B92&gt;$E$19,IF(B92=$E$8,(E92+G92),IF(B92&gt;$E$8,0,PMT($E$15,($E$8-$E$19),-($E$13-$E$11),$E$12,0))),E92),2)</f>
        <v>#REF!</v>
      </c>
    </row>
    <row r="93" spans="1:9" hidden="1">
      <c r="A93" s="224" t="e">
        <f t="shared" si="11"/>
        <v>#REF!</v>
      </c>
      <c r="B93" s="185" t="e">
        <f t="shared" si="15"/>
        <v>#REF!</v>
      </c>
      <c r="C93" s="194" t="e">
        <f t="shared" si="16"/>
        <v>#REF!</v>
      </c>
      <c r="D93" s="225" t="e">
        <f t="shared" si="17"/>
        <v>#REF!</v>
      </c>
      <c r="E93" s="194" t="e">
        <f t="shared" si="12"/>
        <v>#REF!</v>
      </c>
      <c r="F93" s="190" t="e">
        <f>IF(E93&gt;0,IF('Общие данные'!$B$15&gt;0,E93*'Общие данные'!$B$15,"Без НДС"),0)</f>
        <v>#REF!</v>
      </c>
      <c r="G93" s="194" t="e">
        <f t="shared" si="13"/>
        <v>#REF!</v>
      </c>
      <c r="H93" s="223" t="e">
        <f t="shared" si="14"/>
        <v>#REF!</v>
      </c>
      <c r="I93" s="194" t="e">
        <f t="shared" si="18"/>
        <v>#REF!</v>
      </c>
    </row>
    <row r="94" spans="1:9" hidden="1">
      <c r="A94" s="224" t="e">
        <f t="shared" si="11"/>
        <v>#REF!</v>
      </c>
      <c r="B94" s="185" t="e">
        <f t="shared" si="15"/>
        <v>#REF!</v>
      </c>
      <c r="C94" s="194" t="e">
        <f t="shared" si="16"/>
        <v>#REF!</v>
      </c>
      <c r="D94" s="225" t="e">
        <f t="shared" si="17"/>
        <v>#REF!</v>
      </c>
      <c r="E94" s="194" t="e">
        <f t="shared" si="12"/>
        <v>#REF!</v>
      </c>
      <c r="F94" s="190" t="e">
        <f>IF(E94&gt;0,IF('Общие данные'!$B$15&gt;0,E94*'Общие данные'!$B$15,"Без НДС"),0)</f>
        <v>#REF!</v>
      </c>
      <c r="G94" s="194" t="e">
        <f t="shared" si="13"/>
        <v>#REF!</v>
      </c>
      <c r="H94" s="223" t="e">
        <f t="shared" si="14"/>
        <v>#REF!</v>
      </c>
      <c r="I94" s="194" t="e">
        <f t="shared" si="18"/>
        <v>#REF!</v>
      </c>
    </row>
    <row r="95" spans="1:9" hidden="1">
      <c r="A95" s="224" t="e">
        <f t="shared" si="11"/>
        <v>#REF!</v>
      </c>
      <c r="B95" s="185" t="e">
        <f t="shared" si="15"/>
        <v>#REF!</v>
      </c>
      <c r="C95" s="194" t="e">
        <f t="shared" si="16"/>
        <v>#REF!</v>
      </c>
      <c r="D95" s="225" t="e">
        <f t="shared" si="17"/>
        <v>#REF!</v>
      </c>
      <c r="E95" s="194" t="e">
        <f t="shared" si="12"/>
        <v>#REF!</v>
      </c>
      <c r="F95" s="190" t="e">
        <f>IF(E95&gt;0,IF('Общие данные'!$B$15&gt;0,E95*'Общие данные'!$B$15,"Без НДС"),0)</f>
        <v>#REF!</v>
      </c>
      <c r="G95" s="194" t="e">
        <f t="shared" si="13"/>
        <v>#REF!</v>
      </c>
      <c r="H95" s="223" t="e">
        <f t="shared" si="14"/>
        <v>#REF!</v>
      </c>
      <c r="I95" s="194" t="e">
        <f t="shared" si="18"/>
        <v>#REF!</v>
      </c>
    </row>
    <row r="96" spans="1:9" hidden="1">
      <c r="A96" s="224" t="e">
        <f t="shared" si="11"/>
        <v>#REF!</v>
      </c>
      <c r="B96" s="185" t="e">
        <f t="shared" si="15"/>
        <v>#REF!</v>
      </c>
      <c r="C96" s="194" t="e">
        <f t="shared" si="16"/>
        <v>#REF!</v>
      </c>
      <c r="D96" s="225" t="e">
        <f t="shared" si="17"/>
        <v>#REF!</v>
      </c>
      <c r="E96" s="194" t="e">
        <f t="shared" si="12"/>
        <v>#REF!</v>
      </c>
      <c r="F96" s="190" t="e">
        <f>IF(E96&gt;0,IF('Общие данные'!$B$15&gt;0,E96*'Общие данные'!$B$15,"Без НДС"),0)</f>
        <v>#REF!</v>
      </c>
      <c r="G96" s="194" t="e">
        <f t="shared" si="13"/>
        <v>#REF!</v>
      </c>
      <c r="H96" s="223" t="e">
        <f t="shared" si="14"/>
        <v>#REF!</v>
      </c>
      <c r="I96" s="194" t="e">
        <f t="shared" si="18"/>
        <v>#REF!</v>
      </c>
    </row>
    <row r="97" spans="1:9" hidden="1">
      <c r="A97" s="224" t="e">
        <f t="shared" si="11"/>
        <v>#REF!</v>
      </c>
      <c r="B97" s="185" t="e">
        <f t="shared" si="15"/>
        <v>#REF!</v>
      </c>
      <c r="C97" s="194" t="e">
        <f t="shared" si="16"/>
        <v>#REF!</v>
      </c>
      <c r="D97" s="225" t="e">
        <f t="shared" si="17"/>
        <v>#REF!</v>
      </c>
      <c r="E97" s="194" t="e">
        <f t="shared" si="12"/>
        <v>#REF!</v>
      </c>
      <c r="F97" s="190" t="e">
        <f>IF(E97&gt;0,IF('Общие данные'!$B$15&gt;0,E97*'Общие данные'!$B$15,"Без НДС"),0)</f>
        <v>#REF!</v>
      </c>
      <c r="G97" s="194" t="e">
        <f t="shared" si="13"/>
        <v>#REF!</v>
      </c>
      <c r="H97" s="223" t="e">
        <f t="shared" si="14"/>
        <v>#REF!</v>
      </c>
      <c r="I97" s="194" t="e">
        <f t="shared" si="18"/>
        <v>#REF!</v>
      </c>
    </row>
    <row r="98" spans="1:9" hidden="1">
      <c r="A98" s="224" t="e">
        <f t="shared" si="11"/>
        <v>#REF!</v>
      </c>
      <c r="B98" s="185" t="e">
        <f t="shared" si="15"/>
        <v>#REF!</v>
      </c>
      <c r="C98" s="194" t="e">
        <f t="shared" si="16"/>
        <v>#REF!</v>
      </c>
      <c r="D98" s="225" t="e">
        <f t="shared" si="17"/>
        <v>#REF!</v>
      </c>
      <c r="E98" s="194" t="e">
        <f t="shared" si="12"/>
        <v>#REF!</v>
      </c>
      <c r="F98" s="190" t="e">
        <f>IF(E98&gt;0,IF('Общие данные'!$B$15&gt;0,E98*'Общие данные'!$B$15,"Без НДС"),0)</f>
        <v>#REF!</v>
      </c>
      <c r="G98" s="194" t="e">
        <f t="shared" si="13"/>
        <v>#REF!</v>
      </c>
      <c r="H98" s="223" t="e">
        <f t="shared" si="14"/>
        <v>#REF!</v>
      </c>
      <c r="I98" s="194" t="e">
        <f t="shared" si="18"/>
        <v>#REF!</v>
      </c>
    </row>
    <row r="99" spans="1:9" hidden="1">
      <c r="A99" s="224" t="e">
        <f t="shared" si="11"/>
        <v>#REF!</v>
      </c>
      <c r="B99" s="185" t="e">
        <f t="shared" si="15"/>
        <v>#REF!</v>
      </c>
      <c r="C99" s="194" t="e">
        <f t="shared" si="16"/>
        <v>#REF!</v>
      </c>
      <c r="D99" s="225" t="e">
        <f t="shared" si="17"/>
        <v>#REF!</v>
      </c>
      <c r="E99" s="194" t="e">
        <f t="shared" si="12"/>
        <v>#REF!</v>
      </c>
      <c r="F99" s="190" t="e">
        <f>IF(E99&gt;0,IF('Общие данные'!$B$15&gt;0,E99*'Общие данные'!$B$15,"Без НДС"),0)</f>
        <v>#REF!</v>
      </c>
      <c r="G99" s="194" t="e">
        <f t="shared" si="13"/>
        <v>#REF!</v>
      </c>
      <c r="H99" s="223" t="e">
        <f t="shared" si="14"/>
        <v>#REF!</v>
      </c>
      <c r="I99" s="194" t="e">
        <f t="shared" si="18"/>
        <v>#REF!</v>
      </c>
    </row>
    <row r="100" spans="1:9" hidden="1">
      <c r="A100" s="224" t="e">
        <f t="shared" si="11"/>
        <v>#REF!</v>
      </c>
      <c r="B100" s="185" t="e">
        <f t="shared" si="15"/>
        <v>#REF!</v>
      </c>
      <c r="C100" s="194" t="e">
        <f t="shared" si="16"/>
        <v>#REF!</v>
      </c>
      <c r="D100" s="225" t="e">
        <f t="shared" si="17"/>
        <v>#REF!</v>
      </c>
      <c r="E100" s="194" t="e">
        <f t="shared" si="12"/>
        <v>#REF!</v>
      </c>
      <c r="F100" s="190" t="e">
        <f>IF(E100&gt;0,IF('Общие данные'!$B$15&gt;0,E100*'Общие данные'!$B$15,"Без НДС"),0)</f>
        <v>#REF!</v>
      </c>
      <c r="G100" s="194" t="e">
        <f t="shared" si="13"/>
        <v>#REF!</v>
      </c>
      <c r="H100" s="223" t="e">
        <f t="shared" si="14"/>
        <v>#REF!</v>
      </c>
      <c r="I100" s="194" t="e">
        <f t="shared" si="18"/>
        <v>#REF!</v>
      </c>
    </row>
    <row r="101" spans="1:9" hidden="1">
      <c r="A101" s="224" t="e">
        <f t="shared" si="11"/>
        <v>#REF!</v>
      </c>
      <c r="B101" s="185" t="e">
        <f t="shared" si="15"/>
        <v>#REF!</v>
      </c>
      <c r="C101" s="194" t="e">
        <f t="shared" si="16"/>
        <v>#REF!</v>
      </c>
      <c r="D101" s="225" t="e">
        <f t="shared" si="17"/>
        <v>#REF!</v>
      </c>
      <c r="E101" s="194" t="e">
        <f t="shared" si="12"/>
        <v>#REF!</v>
      </c>
      <c r="F101" s="190" t="e">
        <f>IF(E101&gt;0,IF('Общие данные'!$B$15&gt;0,E101*'Общие данные'!$B$15,"Без НДС"),0)</f>
        <v>#REF!</v>
      </c>
      <c r="G101" s="194" t="e">
        <f t="shared" si="13"/>
        <v>#REF!</v>
      </c>
      <c r="H101" s="223" t="e">
        <f t="shared" si="14"/>
        <v>#REF!</v>
      </c>
      <c r="I101" s="194" t="e">
        <f t="shared" si="18"/>
        <v>#REF!</v>
      </c>
    </row>
    <row r="102" spans="1:9" hidden="1">
      <c r="A102" s="224" t="e">
        <f t="shared" si="11"/>
        <v>#REF!</v>
      </c>
      <c r="B102" s="185" t="e">
        <f t="shared" si="15"/>
        <v>#REF!</v>
      </c>
      <c r="C102" s="194" t="e">
        <f t="shared" si="16"/>
        <v>#REF!</v>
      </c>
      <c r="D102" s="225" t="e">
        <f t="shared" si="17"/>
        <v>#REF!</v>
      </c>
      <c r="E102" s="194" t="e">
        <f t="shared" si="12"/>
        <v>#REF!</v>
      </c>
      <c r="F102" s="190" t="e">
        <f>IF(E102&gt;0,IF('Общие данные'!$B$15&gt;0,E102*'Общие данные'!$B$15,"Без НДС"),0)</f>
        <v>#REF!</v>
      </c>
      <c r="G102" s="194" t="e">
        <f t="shared" si="13"/>
        <v>#REF!</v>
      </c>
      <c r="H102" s="223" t="e">
        <f t="shared" si="14"/>
        <v>#REF!</v>
      </c>
      <c r="I102" s="194" t="e">
        <f t="shared" si="18"/>
        <v>#REF!</v>
      </c>
    </row>
    <row r="103" spans="1:9" hidden="1">
      <c r="A103" s="224" t="e">
        <f t="shared" si="11"/>
        <v>#REF!</v>
      </c>
      <c r="B103" s="185" t="e">
        <f t="shared" si="15"/>
        <v>#REF!</v>
      </c>
      <c r="C103" s="194" t="e">
        <f t="shared" si="16"/>
        <v>#REF!</v>
      </c>
      <c r="D103" s="225" t="e">
        <f t="shared" si="17"/>
        <v>#REF!</v>
      </c>
      <c r="E103" s="194" t="e">
        <f t="shared" si="12"/>
        <v>#REF!</v>
      </c>
      <c r="F103" s="190" t="e">
        <f>IF(E103&gt;0,IF('Общие данные'!$B$15&gt;0,E103*'Общие данные'!$B$15,"Без НДС"),0)</f>
        <v>#REF!</v>
      </c>
      <c r="G103" s="194" t="e">
        <f t="shared" si="13"/>
        <v>#REF!</v>
      </c>
      <c r="H103" s="223" t="e">
        <f t="shared" si="14"/>
        <v>#REF!</v>
      </c>
      <c r="I103" s="194" t="e">
        <f t="shared" si="18"/>
        <v>#REF!</v>
      </c>
    </row>
    <row r="104" spans="1:9" hidden="1">
      <c r="A104" s="224" t="e">
        <f t="shared" si="11"/>
        <v>#REF!</v>
      </c>
      <c r="B104" s="185" t="e">
        <f t="shared" si="15"/>
        <v>#REF!</v>
      </c>
      <c r="C104" s="194" t="e">
        <f t="shared" si="16"/>
        <v>#REF!</v>
      </c>
      <c r="D104" s="225" t="e">
        <f t="shared" si="17"/>
        <v>#REF!</v>
      </c>
      <c r="E104" s="194" t="e">
        <f t="shared" si="12"/>
        <v>#REF!</v>
      </c>
      <c r="F104" s="190" t="e">
        <f>IF(E104&gt;0,IF('Общие данные'!$B$15&gt;0,E104*'Общие данные'!$B$15,"Без НДС"),0)</f>
        <v>#REF!</v>
      </c>
      <c r="G104" s="194" t="e">
        <f t="shared" si="13"/>
        <v>#REF!</v>
      </c>
      <c r="H104" s="223" t="e">
        <f t="shared" si="14"/>
        <v>#REF!</v>
      </c>
      <c r="I104" s="194" t="e">
        <f t="shared" si="18"/>
        <v>#REF!</v>
      </c>
    </row>
    <row r="105" spans="1:9" hidden="1">
      <c r="A105" s="224" t="e">
        <f t="shared" si="11"/>
        <v>#REF!</v>
      </c>
      <c r="B105" s="185" t="e">
        <f t="shared" si="15"/>
        <v>#REF!</v>
      </c>
      <c r="C105" s="194" t="e">
        <f t="shared" si="16"/>
        <v>#REF!</v>
      </c>
      <c r="D105" s="225" t="e">
        <f t="shared" si="17"/>
        <v>#REF!</v>
      </c>
      <c r="E105" s="194" t="e">
        <f t="shared" si="12"/>
        <v>#REF!</v>
      </c>
      <c r="F105" s="190" t="e">
        <f>IF(E105&gt;0,IF('Общие данные'!$B$15&gt;0,E105*'Общие данные'!$B$15,"Без НДС"),0)</f>
        <v>#REF!</v>
      </c>
      <c r="G105" s="194" t="e">
        <f t="shared" si="13"/>
        <v>#REF!</v>
      </c>
      <c r="H105" s="223" t="e">
        <f t="shared" si="14"/>
        <v>#REF!</v>
      </c>
      <c r="I105" s="194" t="e">
        <f t="shared" si="18"/>
        <v>#REF!</v>
      </c>
    </row>
    <row r="106" spans="1:9" hidden="1">
      <c r="A106" s="224" t="e">
        <f t="shared" si="11"/>
        <v>#REF!</v>
      </c>
      <c r="B106" s="185" t="e">
        <f t="shared" si="15"/>
        <v>#REF!</v>
      </c>
      <c r="C106" s="194" t="e">
        <f t="shared" si="16"/>
        <v>#REF!</v>
      </c>
      <c r="D106" s="225" t="e">
        <f t="shared" si="17"/>
        <v>#REF!</v>
      </c>
      <c r="E106" s="194" t="e">
        <f t="shared" si="12"/>
        <v>#REF!</v>
      </c>
      <c r="F106" s="190" t="e">
        <f>IF(E106&gt;0,IF('Общие данные'!$B$15&gt;0,E106*'Общие данные'!$B$15,"Без НДС"),0)</f>
        <v>#REF!</v>
      </c>
      <c r="G106" s="194" t="e">
        <f t="shared" si="13"/>
        <v>#REF!</v>
      </c>
      <c r="H106" s="223" t="e">
        <f t="shared" si="14"/>
        <v>#REF!</v>
      </c>
      <c r="I106" s="194" t="e">
        <f t="shared" si="18"/>
        <v>#REF!</v>
      </c>
    </row>
    <row r="107" spans="1:9" hidden="1">
      <c r="A107" s="224" t="e">
        <f t="shared" si="11"/>
        <v>#REF!</v>
      </c>
      <c r="B107" s="185" t="e">
        <f t="shared" si="15"/>
        <v>#REF!</v>
      </c>
      <c r="C107" s="194" t="e">
        <f t="shared" si="16"/>
        <v>#REF!</v>
      </c>
      <c r="D107" s="225" t="e">
        <f t="shared" si="17"/>
        <v>#REF!</v>
      </c>
      <c r="E107" s="194" t="e">
        <f t="shared" si="12"/>
        <v>#REF!</v>
      </c>
      <c r="F107" s="190" t="e">
        <f>IF(E107&gt;0,IF('Общие данные'!$B$15&gt;0,E107*'Общие данные'!$B$15,"Без НДС"),0)</f>
        <v>#REF!</v>
      </c>
      <c r="G107" s="194" t="e">
        <f t="shared" si="13"/>
        <v>#REF!</v>
      </c>
      <c r="H107" s="223" t="e">
        <f t="shared" si="14"/>
        <v>#REF!</v>
      </c>
      <c r="I107" s="194" t="e">
        <f t="shared" si="18"/>
        <v>#REF!</v>
      </c>
    </row>
    <row r="108" spans="1:9" hidden="1">
      <c r="A108" s="224" t="e">
        <f t="shared" si="11"/>
        <v>#REF!</v>
      </c>
      <c r="B108" s="185" t="e">
        <f t="shared" si="15"/>
        <v>#REF!</v>
      </c>
      <c r="C108" s="194" t="e">
        <f t="shared" si="16"/>
        <v>#REF!</v>
      </c>
      <c r="D108" s="225" t="e">
        <f t="shared" si="17"/>
        <v>#REF!</v>
      </c>
      <c r="E108" s="194" t="e">
        <f t="shared" si="12"/>
        <v>#REF!</v>
      </c>
      <c r="F108" s="190" t="e">
        <f>IF(E108&gt;0,IF('Общие данные'!$B$15&gt;0,E108*'Общие данные'!$B$15,"Без НДС"),0)</f>
        <v>#REF!</v>
      </c>
      <c r="G108" s="194" t="e">
        <f t="shared" si="13"/>
        <v>#REF!</v>
      </c>
      <c r="H108" s="223" t="e">
        <f t="shared" si="14"/>
        <v>#REF!</v>
      </c>
      <c r="I108" s="194" t="e">
        <f t="shared" si="18"/>
        <v>#REF!</v>
      </c>
    </row>
    <row r="109" spans="1:9" hidden="1">
      <c r="A109" s="224" t="e">
        <f t="shared" si="11"/>
        <v>#REF!</v>
      </c>
      <c r="B109" s="185" t="e">
        <f t="shared" si="15"/>
        <v>#REF!</v>
      </c>
      <c r="C109" s="194" t="e">
        <f t="shared" si="16"/>
        <v>#REF!</v>
      </c>
      <c r="D109" s="225" t="e">
        <f t="shared" si="17"/>
        <v>#REF!</v>
      </c>
      <c r="E109" s="194" t="e">
        <f t="shared" si="12"/>
        <v>#REF!</v>
      </c>
      <c r="F109" s="190" t="e">
        <f>IF(E109&gt;0,IF('Общие данные'!$B$15&gt;0,E109*'Общие данные'!$B$15,"Без НДС"),0)</f>
        <v>#REF!</v>
      </c>
      <c r="G109" s="194" t="e">
        <f t="shared" si="13"/>
        <v>#REF!</v>
      </c>
      <c r="H109" s="223" t="e">
        <f t="shared" si="14"/>
        <v>#REF!</v>
      </c>
      <c r="I109" s="194" t="e">
        <f t="shared" si="18"/>
        <v>#REF!</v>
      </c>
    </row>
    <row r="110" spans="1:9" hidden="1">
      <c r="A110" s="224" t="e">
        <f t="shared" si="11"/>
        <v>#REF!</v>
      </c>
      <c r="B110" s="185" t="e">
        <f t="shared" si="15"/>
        <v>#REF!</v>
      </c>
      <c r="C110" s="194" t="e">
        <f t="shared" si="16"/>
        <v>#REF!</v>
      </c>
      <c r="D110" s="225" t="e">
        <f t="shared" si="17"/>
        <v>#REF!</v>
      </c>
      <c r="E110" s="194" t="e">
        <f t="shared" si="12"/>
        <v>#REF!</v>
      </c>
      <c r="F110" s="190" t="e">
        <f>IF(E110&gt;0,IF('Общие данные'!$B$15&gt;0,E110*'Общие данные'!$B$15,"Без НДС"),0)</f>
        <v>#REF!</v>
      </c>
      <c r="G110" s="194" t="e">
        <f t="shared" si="13"/>
        <v>#REF!</v>
      </c>
      <c r="H110" s="223" t="e">
        <f t="shared" si="14"/>
        <v>#REF!</v>
      </c>
      <c r="I110" s="194" t="e">
        <f t="shared" si="18"/>
        <v>#REF!</v>
      </c>
    </row>
    <row r="111" spans="1:9" hidden="1">
      <c r="A111" s="224" t="e">
        <f t="shared" si="11"/>
        <v>#REF!</v>
      </c>
      <c r="B111" s="185" t="e">
        <f t="shared" si="15"/>
        <v>#REF!</v>
      </c>
      <c r="C111" s="194" t="e">
        <f t="shared" si="16"/>
        <v>#REF!</v>
      </c>
      <c r="D111" s="225" t="e">
        <f t="shared" si="17"/>
        <v>#REF!</v>
      </c>
      <c r="E111" s="194" t="e">
        <f t="shared" si="12"/>
        <v>#REF!</v>
      </c>
      <c r="F111" s="190" t="e">
        <f>IF(E111&gt;0,IF('Общие данные'!$B$15&gt;0,E111*'Общие данные'!$B$15,"Без НДС"),0)</f>
        <v>#REF!</v>
      </c>
      <c r="G111" s="194" t="e">
        <f t="shared" si="13"/>
        <v>#REF!</v>
      </c>
      <c r="H111" s="223" t="e">
        <f t="shared" si="14"/>
        <v>#REF!</v>
      </c>
      <c r="I111" s="194" t="e">
        <f t="shared" si="18"/>
        <v>#REF!</v>
      </c>
    </row>
    <row r="112" spans="1:9" hidden="1">
      <c r="A112" s="224" t="e">
        <f t="shared" si="11"/>
        <v>#REF!</v>
      </c>
      <c r="B112" s="185" t="e">
        <f t="shared" si="15"/>
        <v>#REF!</v>
      </c>
      <c r="C112" s="194" t="e">
        <f t="shared" si="16"/>
        <v>#REF!</v>
      </c>
      <c r="D112" s="225" t="e">
        <f t="shared" si="17"/>
        <v>#REF!</v>
      </c>
      <c r="E112" s="194" t="e">
        <f t="shared" si="12"/>
        <v>#REF!</v>
      </c>
      <c r="F112" s="190" t="e">
        <f>IF(E112&gt;0,IF('Общие данные'!$B$15&gt;0,E112*'Общие данные'!$B$15,"Без НДС"),0)</f>
        <v>#REF!</v>
      </c>
      <c r="G112" s="194" t="e">
        <f t="shared" si="13"/>
        <v>#REF!</v>
      </c>
      <c r="H112" s="223" t="e">
        <f t="shared" si="14"/>
        <v>#REF!</v>
      </c>
      <c r="I112" s="194" t="e">
        <f t="shared" si="18"/>
        <v>#REF!</v>
      </c>
    </row>
    <row r="113" spans="1:9" hidden="1">
      <c r="A113" s="224" t="e">
        <f t="shared" si="11"/>
        <v>#REF!</v>
      </c>
      <c r="B113" s="185" t="e">
        <f t="shared" si="15"/>
        <v>#REF!</v>
      </c>
      <c r="C113" s="194" t="e">
        <f t="shared" si="16"/>
        <v>#REF!</v>
      </c>
      <c r="D113" s="225" t="e">
        <f t="shared" si="17"/>
        <v>#REF!</v>
      </c>
      <c r="E113" s="194" t="e">
        <f t="shared" si="12"/>
        <v>#REF!</v>
      </c>
      <c r="F113" s="190" t="e">
        <f>IF(E113&gt;0,IF('Общие данные'!$B$15&gt;0,E113*'Общие данные'!$B$15,"Без НДС"),0)</f>
        <v>#REF!</v>
      </c>
      <c r="G113" s="194" t="e">
        <f t="shared" si="13"/>
        <v>#REF!</v>
      </c>
      <c r="H113" s="223" t="e">
        <f t="shared" si="14"/>
        <v>#REF!</v>
      </c>
      <c r="I113" s="194" t="e">
        <f t="shared" si="18"/>
        <v>#REF!</v>
      </c>
    </row>
    <row r="114" spans="1:9" hidden="1">
      <c r="A114" s="224" t="e">
        <f t="shared" si="11"/>
        <v>#REF!</v>
      </c>
      <c r="B114" s="185" t="e">
        <f t="shared" si="15"/>
        <v>#REF!</v>
      </c>
      <c r="C114" s="194" t="e">
        <f t="shared" si="16"/>
        <v>#REF!</v>
      </c>
      <c r="D114" s="225" t="e">
        <f t="shared" si="17"/>
        <v>#REF!</v>
      </c>
      <c r="E114" s="194" t="e">
        <f t="shared" si="12"/>
        <v>#REF!</v>
      </c>
      <c r="F114" s="190" t="e">
        <f>IF(E114&gt;0,IF('Общие данные'!$B$15&gt;0,E114*'Общие данные'!$B$15,"Без НДС"),0)</f>
        <v>#REF!</v>
      </c>
      <c r="G114" s="194" t="e">
        <f t="shared" si="13"/>
        <v>#REF!</v>
      </c>
      <c r="H114" s="223" t="e">
        <f t="shared" si="14"/>
        <v>#REF!</v>
      </c>
      <c r="I114" s="194" t="e">
        <f t="shared" si="18"/>
        <v>#REF!</v>
      </c>
    </row>
    <row r="115" spans="1:9" hidden="1">
      <c r="A115" s="224" t="e">
        <f t="shared" si="11"/>
        <v>#REF!</v>
      </c>
      <c r="B115" s="185" t="e">
        <f t="shared" si="15"/>
        <v>#REF!</v>
      </c>
      <c r="C115" s="194" t="e">
        <f t="shared" si="16"/>
        <v>#REF!</v>
      </c>
      <c r="D115" s="225" t="e">
        <f t="shared" si="17"/>
        <v>#REF!</v>
      </c>
      <c r="E115" s="194" t="e">
        <f t="shared" si="12"/>
        <v>#REF!</v>
      </c>
      <c r="F115" s="190" t="e">
        <f>IF(E115&gt;0,IF('Общие данные'!$B$15&gt;0,E115*'Общие данные'!$B$15,"Без НДС"),0)</f>
        <v>#REF!</v>
      </c>
      <c r="G115" s="194" t="e">
        <f t="shared" si="13"/>
        <v>#REF!</v>
      </c>
      <c r="H115" s="223" t="e">
        <f t="shared" si="14"/>
        <v>#REF!</v>
      </c>
      <c r="I115" s="194" t="e">
        <f t="shared" si="18"/>
        <v>#REF!</v>
      </c>
    </row>
    <row r="116" spans="1:9" hidden="1">
      <c r="A116" s="224" t="e">
        <f t="shared" si="11"/>
        <v>#REF!</v>
      </c>
      <c r="B116" s="185" t="e">
        <f t="shared" si="15"/>
        <v>#REF!</v>
      </c>
      <c r="C116" s="194" t="e">
        <f t="shared" si="16"/>
        <v>#REF!</v>
      </c>
      <c r="D116" s="225" t="e">
        <f t="shared" si="17"/>
        <v>#REF!</v>
      </c>
      <c r="E116" s="194" t="e">
        <f t="shared" si="12"/>
        <v>#REF!</v>
      </c>
      <c r="F116" s="190" t="e">
        <f>IF(E116&gt;0,IF('Общие данные'!$B$15&gt;0,E116*'Общие данные'!$B$15,"Без НДС"),0)</f>
        <v>#REF!</v>
      </c>
      <c r="G116" s="194" t="e">
        <f t="shared" si="13"/>
        <v>#REF!</v>
      </c>
      <c r="H116" s="223" t="e">
        <f t="shared" si="14"/>
        <v>#REF!</v>
      </c>
      <c r="I116" s="194" t="e">
        <f t="shared" si="18"/>
        <v>#REF!</v>
      </c>
    </row>
    <row r="117" spans="1:9" hidden="1">
      <c r="A117" s="224" t="e">
        <f t="shared" si="11"/>
        <v>#REF!</v>
      </c>
      <c r="B117" s="185" t="e">
        <f t="shared" si="15"/>
        <v>#REF!</v>
      </c>
      <c r="C117" s="194" t="e">
        <f t="shared" si="16"/>
        <v>#REF!</v>
      </c>
      <c r="D117" s="225" t="e">
        <f t="shared" si="17"/>
        <v>#REF!</v>
      </c>
      <c r="E117" s="194" t="e">
        <f t="shared" si="12"/>
        <v>#REF!</v>
      </c>
      <c r="F117" s="190" t="e">
        <f>IF(E117&gt;0,IF('Общие данные'!$B$15&gt;0,E117*'Общие данные'!$B$15,"Без НДС"),0)</f>
        <v>#REF!</v>
      </c>
      <c r="G117" s="194" t="e">
        <f t="shared" si="13"/>
        <v>#REF!</v>
      </c>
      <c r="H117" s="223" t="e">
        <f t="shared" si="14"/>
        <v>#REF!</v>
      </c>
      <c r="I117" s="194" t="e">
        <f t="shared" si="18"/>
        <v>#REF!</v>
      </c>
    </row>
    <row r="118" spans="1:9" hidden="1">
      <c r="A118" s="224" t="e">
        <f t="shared" si="11"/>
        <v>#REF!</v>
      </c>
      <c r="B118" s="185" t="e">
        <f t="shared" si="15"/>
        <v>#REF!</v>
      </c>
      <c r="C118" s="194" t="e">
        <f t="shared" si="16"/>
        <v>#REF!</v>
      </c>
      <c r="D118" s="225" t="e">
        <f t="shared" si="17"/>
        <v>#REF!</v>
      </c>
      <c r="E118" s="194" t="e">
        <f t="shared" si="12"/>
        <v>#REF!</v>
      </c>
      <c r="F118" s="190" t="e">
        <f>IF(E118&gt;0,IF('Общие данные'!$B$15&gt;0,E118*'Общие данные'!$B$15,"Без НДС"),0)</f>
        <v>#REF!</v>
      </c>
      <c r="G118" s="194" t="e">
        <f t="shared" si="13"/>
        <v>#REF!</v>
      </c>
      <c r="H118" s="223" t="e">
        <f t="shared" si="14"/>
        <v>#REF!</v>
      </c>
      <c r="I118" s="194" t="e">
        <f t="shared" si="18"/>
        <v>#REF!</v>
      </c>
    </row>
    <row r="119" spans="1:9" hidden="1">
      <c r="A119" s="224" t="e">
        <f t="shared" si="11"/>
        <v>#REF!</v>
      </c>
      <c r="B119" s="185" t="e">
        <f t="shared" si="15"/>
        <v>#REF!</v>
      </c>
      <c r="C119" s="194" t="e">
        <f t="shared" si="16"/>
        <v>#REF!</v>
      </c>
      <c r="D119" s="225" t="e">
        <f t="shared" si="17"/>
        <v>#REF!</v>
      </c>
      <c r="E119" s="194" t="e">
        <f t="shared" si="12"/>
        <v>#REF!</v>
      </c>
      <c r="F119" s="190" t="e">
        <f>IF(E119&gt;0,IF('Общие данные'!$B$15&gt;0,E119*'Общие данные'!$B$15,"Без НДС"),0)</f>
        <v>#REF!</v>
      </c>
      <c r="G119" s="194" t="e">
        <f t="shared" si="13"/>
        <v>#REF!</v>
      </c>
      <c r="H119" s="223" t="e">
        <f t="shared" si="14"/>
        <v>#REF!</v>
      </c>
      <c r="I119" s="194" t="e">
        <f t="shared" si="18"/>
        <v>#REF!</v>
      </c>
    </row>
    <row r="120" spans="1:9" hidden="1">
      <c r="A120" s="224" t="e">
        <f t="shared" si="11"/>
        <v>#REF!</v>
      </c>
      <c r="B120" s="185" t="e">
        <f t="shared" si="15"/>
        <v>#REF!</v>
      </c>
      <c r="C120" s="194" t="e">
        <f t="shared" si="16"/>
        <v>#REF!</v>
      </c>
      <c r="D120" s="225" t="e">
        <f t="shared" si="17"/>
        <v>#REF!</v>
      </c>
      <c r="E120" s="194" t="e">
        <f t="shared" ref="E120:E143" si="19">IF(B120&gt;$E$8,0,ROUNDUP(C120*($E$15*12)*D120/$E$17,2))</f>
        <v>#REF!</v>
      </c>
      <c r="F120" s="190" t="e">
        <f>IF(E120&gt;0,IF('Общие данные'!$B$15&gt;0,E120*'Общие данные'!$B$15,"Без НДС"),0)</f>
        <v>#REF!</v>
      </c>
      <c r="G120" s="194" t="e">
        <f t="shared" ref="G120:G143" si="20">IF(B120=$E$8,C120-$E$12,IF(B120&gt;$E$19,IF(B120&gt;$E$8,0,(I120-E120)),0))</f>
        <v>#REF!</v>
      </c>
      <c r="H120" s="223" t="e">
        <f t="shared" si="14"/>
        <v>#REF!</v>
      </c>
      <c r="I120" s="194" t="e">
        <f t="shared" si="18"/>
        <v>#REF!</v>
      </c>
    </row>
    <row r="121" spans="1:9" hidden="1">
      <c r="A121" s="224" t="e">
        <f t="shared" si="11"/>
        <v>#REF!</v>
      </c>
      <c r="B121" s="185" t="e">
        <f t="shared" si="15"/>
        <v>#REF!</v>
      </c>
      <c r="C121" s="194" t="e">
        <f t="shared" si="16"/>
        <v>#REF!</v>
      </c>
      <c r="D121" s="225" t="e">
        <f t="shared" si="17"/>
        <v>#REF!</v>
      </c>
      <c r="E121" s="194" t="e">
        <f t="shared" si="19"/>
        <v>#REF!</v>
      </c>
      <c r="F121" s="190" t="e">
        <f>IF(E121&gt;0,IF('Общие данные'!$B$15&gt;0,E121*'Общие данные'!$B$15,"Без НДС"),0)</f>
        <v>#REF!</v>
      </c>
      <c r="G121" s="194" t="e">
        <f t="shared" si="20"/>
        <v>#REF!</v>
      </c>
      <c r="H121" s="223" t="e">
        <f t="shared" si="14"/>
        <v>#REF!</v>
      </c>
      <c r="I121" s="194" t="e">
        <f t="shared" si="18"/>
        <v>#REF!</v>
      </c>
    </row>
    <row r="122" spans="1:9" hidden="1">
      <c r="A122" s="224" t="e">
        <f t="shared" si="11"/>
        <v>#REF!</v>
      </c>
      <c r="B122" s="185" t="e">
        <f t="shared" si="15"/>
        <v>#REF!</v>
      </c>
      <c r="C122" s="194" t="e">
        <f t="shared" si="16"/>
        <v>#REF!</v>
      </c>
      <c r="D122" s="225" t="e">
        <f t="shared" si="17"/>
        <v>#REF!</v>
      </c>
      <c r="E122" s="194" t="e">
        <f t="shared" si="19"/>
        <v>#REF!</v>
      </c>
      <c r="F122" s="190" t="e">
        <f>IF(E122&gt;0,IF('Общие данные'!$B$15&gt;0,E122*'Общие данные'!$B$15,"Без НДС"),0)</f>
        <v>#REF!</v>
      </c>
      <c r="G122" s="194" t="e">
        <f t="shared" si="20"/>
        <v>#REF!</v>
      </c>
      <c r="H122" s="223" t="e">
        <f t="shared" si="14"/>
        <v>#REF!</v>
      </c>
      <c r="I122" s="194" t="e">
        <f t="shared" si="18"/>
        <v>#REF!</v>
      </c>
    </row>
    <row r="123" spans="1:9" hidden="1">
      <c r="A123" s="224" t="e">
        <f t="shared" si="11"/>
        <v>#REF!</v>
      </c>
      <c r="B123" s="185" t="e">
        <f t="shared" si="15"/>
        <v>#REF!</v>
      </c>
      <c r="C123" s="194" t="e">
        <f t="shared" si="16"/>
        <v>#REF!</v>
      </c>
      <c r="D123" s="225" t="e">
        <f t="shared" si="17"/>
        <v>#REF!</v>
      </c>
      <c r="E123" s="194" t="e">
        <f t="shared" si="19"/>
        <v>#REF!</v>
      </c>
      <c r="F123" s="190" t="e">
        <f>IF(E123&gt;0,IF('Общие данные'!$B$15&gt;0,E123*'Общие данные'!$B$15,"Без НДС"),0)</f>
        <v>#REF!</v>
      </c>
      <c r="G123" s="194" t="e">
        <f t="shared" si="20"/>
        <v>#REF!</v>
      </c>
      <c r="H123" s="223" t="e">
        <f t="shared" si="14"/>
        <v>#REF!</v>
      </c>
      <c r="I123" s="194" t="e">
        <f t="shared" si="18"/>
        <v>#REF!</v>
      </c>
    </row>
    <row r="124" spans="1:9" hidden="1">
      <c r="A124" s="224" t="e">
        <f t="shared" si="11"/>
        <v>#REF!</v>
      </c>
      <c r="B124" s="185" t="e">
        <f t="shared" si="15"/>
        <v>#REF!</v>
      </c>
      <c r="C124" s="194" t="e">
        <f t="shared" si="16"/>
        <v>#REF!</v>
      </c>
      <c r="D124" s="225" t="e">
        <f t="shared" si="17"/>
        <v>#REF!</v>
      </c>
      <c r="E124" s="194" t="e">
        <f t="shared" si="19"/>
        <v>#REF!</v>
      </c>
      <c r="F124" s="190" t="e">
        <f>IF(E124&gt;0,IF('Общие данные'!$B$15&gt;0,E124*'Общие данные'!$B$15,"Без НДС"),0)</f>
        <v>#REF!</v>
      </c>
      <c r="G124" s="194" t="e">
        <f t="shared" si="20"/>
        <v>#REF!</v>
      </c>
      <c r="H124" s="223" t="e">
        <f t="shared" si="14"/>
        <v>#REF!</v>
      </c>
      <c r="I124" s="194" t="e">
        <f t="shared" ref="I124:I143" si="21">ROUNDUP(IF(B124&gt;$E$19,IF(B124=$E$8,(E124+G124),IF(B124&gt;$E$8,0,PMT($E$15,($E$8-$E$19),-($E$13-$E$11),$E$12,0))),E124),2)</f>
        <v>#REF!</v>
      </c>
    </row>
    <row r="125" spans="1:9" hidden="1">
      <c r="A125" s="224" t="e">
        <f t="shared" ref="A125:A142" si="22">IF(B125&gt;$E$8,0,IF(B125=0,0,EDATE(A124,1)))</f>
        <v>#REF!</v>
      </c>
      <c r="B125" s="185" t="e">
        <f t="shared" si="15"/>
        <v>#REF!</v>
      </c>
      <c r="C125" s="194" t="e">
        <f t="shared" si="16"/>
        <v>#REF!</v>
      </c>
      <c r="D125" s="225" t="e">
        <f t="shared" si="17"/>
        <v>#REF!</v>
      </c>
      <c r="E125" s="194" t="e">
        <f t="shared" si="19"/>
        <v>#REF!</v>
      </c>
      <c r="F125" s="190" t="e">
        <f>IF(E125&gt;0,IF('Общие данные'!$B$15&gt;0,E125*'Общие данные'!$B$15,"Без НДС"),0)</f>
        <v>#REF!</v>
      </c>
      <c r="G125" s="194" t="e">
        <f t="shared" si="20"/>
        <v>#REF!</v>
      </c>
      <c r="H125" s="223" t="e">
        <f t="shared" si="14"/>
        <v>#REF!</v>
      </c>
      <c r="I125" s="194" t="e">
        <f t="shared" si="21"/>
        <v>#REF!</v>
      </c>
    </row>
    <row r="126" spans="1:9" hidden="1">
      <c r="A126" s="224" t="e">
        <f t="shared" si="22"/>
        <v>#REF!</v>
      </c>
      <c r="B126" s="185" t="e">
        <f t="shared" si="15"/>
        <v>#REF!</v>
      </c>
      <c r="C126" s="194" t="e">
        <f t="shared" si="16"/>
        <v>#REF!</v>
      </c>
      <c r="D126" s="225" t="e">
        <f t="shared" si="17"/>
        <v>#REF!</v>
      </c>
      <c r="E126" s="194" t="e">
        <f t="shared" si="19"/>
        <v>#REF!</v>
      </c>
      <c r="F126" s="190" t="e">
        <f>IF(E126&gt;0,IF('Общие данные'!$B$15&gt;0,E126*'Общие данные'!$B$15,"Без НДС"),0)</f>
        <v>#REF!</v>
      </c>
      <c r="G126" s="194" t="e">
        <f t="shared" si="20"/>
        <v>#REF!</v>
      </c>
      <c r="H126" s="223" t="e">
        <f t="shared" si="14"/>
        <v>#REF!</v>
      </c>
      <c r="I126" s="194" t="e">
        <f t="shared" si="21"/>
        <v>#REF!</v>
      </c>
    </row>
    <row r="127" spans="1:9" hidden="1">
      <c r="A127" s="224" t="e">
        <f t="shared" si="22"/>
        <v>#REF!</v>
      </c>
      <c r="B127" s="185" t="e">
        <f t="shared" si="15"/>
        <v>#REF!</v>
      </c>
      <c r="C127" s="194" t="e">
        <f t="shared" si="16"/>
        <v>#REF!</v>
      </c>
      <c r="D127" s="225" t="e">
        <f t="shared" si="17"/>
        <v>#REF!</v>
      </c>
      <c r="E127" s="194" t="e">
        <f t="shared" si="19"/>
        <v>#REF!</v>
      </c>
      <c r="F127" s="190" t="e">
        <f>IF(E127&gt;0,IF('Общие данные'!$B$15&gt;0,E127*'Общие данные'!$B$15,"Без НДС"),0)</f>
        <v>#REF!</v>
      </c>
      <c r="G127" s="194" t="e">
        <f t="shared" si="20"/>
        <v>#REF!</v>
      </c>
      <c r="H127" s="223" t="e">
        <f t="shared" si="14"/>
        <v>#REF!</v>
      </c>
      <c r="I127" s="194" t="e">
        <f t="shared" si="21"/>
        <v>#REF!</v>
      </c>
    </row>
    <row r="128" spans="1:9" hidden="1">
      <c r="A128" s="224" t="e">
        <f t="shared" si="22"/>
        <v>#REF!</v>
      </c>
      <c r="B128" s="185" t="e">
        <f t="shared" si="15"/>
        <v>#REF!</v>
      </c>
      <c r="C128" s="194" t="e">
        <f t="shared" si="16"/>
        <v>#REF!</v>
      </c>
      <c r="D128" s="225" t="e">
        <f t="shared" si="17"/>
        <v>#REF!</v>
      </c>
      <c r="E128" s="194" t="e">
        <f t="shared" si="19"/>
        <v>#REF!</v>
      </c>
      <c r="F128" s="190" t="e">
        <f>IF(E128&gt;0,IF('Общие данные'!$B$15&gt;0,E128*'Общие данные'!$B$15,"Без НДС"),0)</f>
        <v>#REF!</v>
      </c>
      <c r="G128" s="194" t="e">
        <f t="shared" si="20"/>
        <v>#REF!</v>
      </c>
      <c r="H128" s="223" t="e">
        <f t="shared" si="14"/>
        <v>#REF!</v>
      </c>
      <c r="I128" s="194" t="e">
        <f t="shared" si="21"/>
        <v>#REF!</v>
      </c>
    </row>
    <row r="129" spans="1:9" hidden="1">
      <c r="A129" s="224" t="e">
        <f t="shared" si="22"/>
        <v>#REF!</v>
      </c>
      <c r="B129" s="185" t="e">
        <f t="shared" si="15"/>
        <v>#REF!</v>
      </c>
      <c r="C129" s="194" t="e">
        <f t="shared" si="16"/>
        <v>#REF!</v>
      </c>
      <c r="D129" s="225" t="e">
        <f t="shared" si="17"/>
        <v>#REF!</v>
      </c>
      <c r="E129" s="194" t="e">
        <f t="shared" si="19"/>
        <v>#REF!</v>
      </c>
      <c r="F129" s="190" t="e">
        <f>IF(E129&gt;0,IF('Общие данные'!$B$15&gt;0,E129*'Общие данные'!$B$15,"Без НДС"),0)</f>
        <v>#REF!</v>
      </c>
      <c r="G129" s="194" t="e">
        <f t="shared" si="20"/>
        <v>#REF!</v>
      </c>
      <c r="H129" s="223" t="e">
        <f t="shared" si="14"/>
        <v>#REF!</v>
      </c>
      <c r="I129" s="194" t="e">
        <f t="shared" si="21"/>
        <v>#REF!</v>
      </c>
    </row>
    <row r="130" spans="1:9" hidden="1">
      <c r="A130" s="224" t="e">
        <f t="shared" si="22"/>
        <v>#REF!</v>
      </c>
      <c r="B130" s="185" t="e">
        <f t="shared" si="15"/>
        <v>#REF!</v>
      </c>
      <c r="C130" s="194" t="e">
        <f t="shared" si="16"/>
        <v>#REF!</v>
      </c>
      <c r="D130" s="225" t="e">
        <f t="shared" si="17"/>
        <v>#REF!</v>
      </c>
      <c r="E130" s="194" t="e">
        <f t="shared" si="19"/>
        <v>#REF!</v>
      </c>
      <c r="F130" s="190" t="e">
        <f>IF(E130&gt;0,IF('Общие данные'!$B$15&gt;0,E130*'Общие данные'!$B$15,"Без НДС"),0)</f>
        <v>#REF!</v>
      </c>
      <c r="G130" s="194" t="e">
        <f t="shared" si="20"/>
        <v>#REF!</v>
      </c>
      <c r="H130" s="223" t="e">
        <f t="shared" si="14"/>
        <v>#REF!</v>
      </c>
      <c r="I130" s="194" t="e">
        <f t="shared" si="21"/>
        <v>#REF!</v>
      </c>
    </row>
    <row r="131" spans="1:9" hidden="1">
      <c r="A131" s="224" t="e">
        <f t="shared" si="22"/>
        <v>#REF!</v>
      </c>
      <c r="B131" s="185" t="e">
        <f t="shared" si="15"/>
        <v>#REF!</v>
      </c>
      <c r="C131" s="194" t="e">
        <f t="shared" si="16"/>
        <v>#REF!</v>
      </c>
      <c r="D131" s="225" t="e">
        <f t="shared" si="17"/>
        <v>#REF!</v>
      </c>
      <c r="E131" s="194" t="e">
        <f t="shared" si="19"/>
        <v>#REF!</v>
      </c>
      <c r="F131" s="190" t="e">
        <f>IF(E131&gt;0,IF('Общие данные'!$B$15&gt;0,E131*'Общие данные'!$B$15,"Без НДС"),0)</f>
        <v>#REF!</v>
      </c>
      <c r="G131" s="194" t="e">
        <f t="shared" si="20"/>
        <v>#REF!</v>
      </c>
      <c r="H131" s="223" t="e">
        <f t="shared" si="14"/>
        <v>#REF!</v>
      </c>
      <c r="I131" s="194" t="e">
        <f t="shared" si="21"/>
        <v>#REF!</v>
      </c>
    </row>
    <row r="132" spans="1:9" hidden="1">
      <c r="A132" s="224" t="e">
        <f t="shared" si="22"/>
        <v>#REF!</v>
      </c>
      <c r="B132" s="185" t="e">
        <f t="shared" si="15"/>
        <v>#REF!</v>
      </c>
      <c r="C132" s="194" t="e">
        <f t="shared" si="16"/>
        <v>#REF!</v>
      </c>
      <c r="D132" s="225" t="e">
        <f t="shared" si="17"/>
        <v>#REF!</v>
      </c>
      <c r="E132" s="194" t="e">
        <f t="shared" si="19"/>
        <v>#REF!</v>
      </c>
      <c r="F132" s="190" t="e">
        <f>IF(E132&gt;0,IF('Общие данные'!$B$15&gt;0,E132*'Общие данные'!$B$15,"Без НДС"),0)</f>
        <v>#REF!</v>
      </c>
      <c r="G132" s="194" t="e">
        <f t="shared" si="20"/>
        <v>#REF!</v>
      </c>
      <c r="H132" s="223" t="e">
        <f t="shared" si="14"/>
        <v>#REF!</v>
      </c>
      <c r="I132" s="194" t="e">
        <f t="shared" si="21"/>
        <v>#REF!</v>
      </c>
    </row>
    <row r="133" spans="1:9" hidden="1">
      <c r="A133" s="224" t="e">
        <f t="shared" si="22"/>
        <v>#REF!</v>
      </c>
      <c r="B133" s="185" t="e">
        <f t="shared" si="15"/>
        <v>#REF!</v>
      </c>
      <c r="C133" s="194" t="e">
        <f t="shared" si="16"/>
        <v>#REF!</v>
      </c>
      <c r="D133" s="225" t="e">
        <f t="shared" si="17"/>
        <v>#REF!</v>
      </c>
      <c r="E133" s="194" t="e">
        <f t="shared" si="19"/>
        <v>#REF!</v>
      </c>
      <c r="F133" s="190" t="e">
        <f>IF(E133&gt;0,IF('Общие данные'!$B$15&gt;0,E133*'Общие данные'!$B$15,"Без НДС"),0)</f>
        <v>#REF!</v>
      </c>
      <c r="G133" s="194" t="e">
        <f t="shared" si="20"/>
        <v>#REF!</v>
      </c>
      <c r="H133" s="223" t="e">
        <f t="shared" si="14"/>
        <v>#REF!</v>
      </c>
      <c r="I133" s="194" t="e">
        <f t="shared" si="21"/>
        <v>#REF!</v>
      </c>
    </row>
    <row r="134" spans="1:9" hidden="1">
      <c r="A134" s="224" t="e">
        <f t="shared" si="22"/>
        <v>#REF!</v>
      </c>
      <c r="B134" s="185" t="e">
        <f t="shared" si="15"/>
        <v>#REF!</v>
      </c>
      <c r="C134" s="194" t="e">
        <f t="shared" si="16"/>
        <v>#REF!</v>
      </c>
      <c r="D134" s="225" t="e">
        <f t="shared" si="17"/>
        <v>#REF!</v>
      </c>
      <c r="E134" s="194" t="e">
        <f t="shared" si="19"/>
        <v>#REF!</v>
      </c>
      <c r="F134" s="190" t="e">
        <f>IF(E134&gt;0,IF('Общие данные'!$B$15&gt;0,E134*'Общие данные'!$B$15,"Без НДС"),0)</f>
        <v>#REF!</v>
      </c>
      <c r="G134" s="194" t="e">
        <f t="shared" si="20"/>
        <v>#REF!</v>
      </c>
      <c r="H134" s="223" t="e">
        <f t="shared" si="14"/>
        <v>#REF!</v>
      </c>
      <c r="I134" s="194" t="e">
        <f t="shared" si="21"/>
        <v>#REF!</v>
      </c>
    </row>
    <row r="135" spans="1:9" hidden="1">
      <c r="A135" s="224" t="e">
        <f t="shared" si="22"/>
        <v>#REF!</v>
      </c>
      <c r="B135" s="185" t="e">
        <f t="shared" si="15"/>
        <v>#REF!</v>
      </c>
      <c r="C135" s="194" t="e">
        <f t="shared" si="16"/>
        <v>#REF!</v>
      </c>
      <c r="D135" s="225" t="e">
        <f t="shared" si="17"/>
        <v>#REF!</v>
      </c>
      <c r="E135" s="194" t="e">
        <f t="shared" si="19"/>
        <v>#REF!</v>
      </c>
      <c r="F135" s="190" t="e">
        <f>IF(E135&gt;0,IF('Общие данные'!$B$15&gt;0,E135*'Общие данные'!$B$15,"Без НДС"),0)</f>
        <v>#REF!</v>
      </c>
      <c r="G135" s="194" t="e">
        <f t="shared" si="20"/>
        <v>#REF!</v>
      </c>
      <c r="H135" s="223" t="e">
        <f t="shared" si="14"/>
        <v>#REF!</v>
      </c>
      <c r="I135" s="194" t="e">
        <f t="shared" si="21"/>
        <v>#REF!</v>
      </c>
    </row>
    <row r="136" spans="1:9" hidden="1">
      <c r="A136" s="224" t="e">
        <f t="shared" si="22"/>
        <v>#REF!</v>
      </c>
      <c r="B136" s="185" t="e">
        <f t="shared" si="15"/>
        <v>#REF!</v>
      </c>
      <c r="C136" s="194" t="e">
        <f t="shared" si="16"/>
        <v>#REF!</v>
      </c>
      <c r="D136" s="225" t="e">
        <f t="shared" si="17"/>
        <v>#REF!</v>
      </c>
      <c r="E136" s="194" t="e">
        <f t="shared" si="19"/>
        <v>#REF!</v>
      </c>
      <c r="F136" s="190" t="e">
        <f>IF(E136&gt;0,IF('Общие данные'!$B$15&gt;0,E136*'Общие данные'!$B$15,"Без НДС"),0)</f>
        <v>#REF!</v>
      </c>
      <c r="G136" s="194" t="e">
        <f t="shared" si="20"/>
        <v>#REF!</v>
      </c>
      <c r="H136" s="223" t="e">
        <f t="shared" si="14"/>
        <v>#REF!</v>
      </c>
      <c r="I136" s="194" t="e">
        <f t="shared" si="21"/>
        <v>#REF!</v>
      </c>
    </row>
    <row r="137" spans="1:9" hidden="1">
      <c r="A137" s="224" t="e">
        <f t="shared" si="22"/>
        <v>#REF!</v>
      </c>
      <c r="B137" s="185" t="e">
        <f t="shared" si="15"/>
        <v>#REF!</v>
      </c>
      <c r="C137" s="194" t="e">
        <f t="shared" si="16"/>
        <v>#REF!</v>
      </c>
      <c r="D137" s="225" t="e">
        <f t="shared" si="17"/>
        <v>#REF!</v>
      </c>
      <c r="E137" s="194" t="e">
        <f t="shared" si="19"/>
        <v>#REF!</v>
      </c>
      <c r="F137" s="190" t="e">
        <f>IF(E137&gt;0,IF('Общие данные'!$B$15&gt;0,E137*'Общие данные'!$B$15,"Без НДС"),0)</f>
        <v>#REF!</v>
      </c>
      <c r="G137" s="194" t="e">
        <f t="shared" si="20"/>
        <v>#REF!</v>
      </c>
      <c r="H137" s="223" t="e">
        <f t="shared" si="14"/>
        <v>#REF!</v>
      </c>
      <c r="I137" s="194" t="e">
        <f t="shared" si="21"/>
        <v>#REF!</v>
      </c>
    </row>
    <row r="138" spans="1:9" hidden="1">
      <c r="A138" s="224" t="e">
        <f t="shared" si="22"/>
        <v>#REF!</v>
      </c>
      <c r="B138" s="185" t="e">
        <f t="shared" si="15"/>
        <v>#REF!</v>
      </c>
      <c r="C138" s="194" t="e">
        <f t="shared" si="16"/>
        <v>#REF!</v>
      </c>
      <c r="D138" s="225" t="e">
        <f t="shared" si="17"/>
        <v>#REF!</v>
      </c>
      <c r="E138" s="194" t="e">
        <f t="shared" si="19"/>
        <v>#REF!</v>
      </c>
      <c r="F138" s="190" t="e">
        <f>IF(E138&gt;0,IF('Общие данные'!$B$15&gt;0,E138*'Общие данные'!$B$15,"Без НДС"),0)</f>
        <v>#REF!</v>
      </c>
      <c r="G138" s="194" t="e">
        <f t="shared" si="20"/>
        <v>#REF!</v>
      </c>
      <c r="H138" s="223" t="e">
        <f t="shared" si="14"/>
        <v>#REF!</v>
      </c>
      <c r="I138" s="194" t="e">
        <f t="shared" si="21"/>
        <v>#REF!</v>
      </c>
    </row>
    <row r="139" spans="1:9" hidden="1">
      <c r="A139" s="224" t="e">
        <f t="shared" si="22"/>
        <v>#REF!</v>
      </c>
      <c r="B139" s="185" t="e">
        <f t="shared" si="15"/>
        <v>#REF!</v>
      </c>
      <c r="C139" s="194" t="e">
        <f t="shared" si="16"/>
        <v>#REF!</v>
      </c>
      <c r="D139" s="225" t="e">
        <f t="shared" si="17"/>
        <v>#REF!</v>
      </c>
      <c r="E139" s="194" t="e">
        <f t="shared" si="19"/>
        <v>#REF!</v>
      </c>
      <c r="F139" s="190" t="e">
        <f>IF(E139&gt;0,IF('Общие данные'!$B$15&gt;0,E139*'Общие данные'!$B$15,"Без НДС"),0)</f>
        <v>#REF!</v>
      </c>
      <c r="G139" s="194" t="e">
        <f t="shared" si="20"/>
        <v>#REF!</v>
      </c>
      <c r="H139" s="223" t="e">
        <f t="shared" si="14"/>
        <v>#REF!</v>
      </c>
      <c r="I139" s="194" t="e">
        <f t="shared" si="21"/>
        <v>#REF!</v>
      </c>
    </row>
    <row r="140" spans="1:9" hidden="1">
      <c r="A140" s="224" t="e">
        <f t="shared" si="22"/>
        <v>#REF!</v>
      </c>
      <c r="B140" s="185" t="e">
        <f t="shared" si="15"/>
        <v>#REF!</v>
      </c>
      <c r="C140" s="194" t="e">
        <f t="shared" si="16"/>
        <v>#REF!</v>
      </c>
      <c r="D140" s="225" t="e">
        <f t="shared" si="17"/>
        <v>#REF!</v>
      </c>
      <c r="E140" s="194" t="e">
        <f t="shared" si="19"/>
        <v>#REF!</v>
      </c>
      <c r="F140" s="190" t="e">
        <f>IF(E140&gt;0,IF('Общие данные'!$B$15&gt;0,E140*'Общие данные'!$B$15,"Без НДС"),0)</f>
        <v>#REF!</v>
      </c>
      <c r="G140" s="194" t="e">
        <f t="shared" si="20"/>
        <v>#REF!</v>
      </c>
      <c r="H140" s="223" t="e">
        <f t="shared" si="14"/>
        <v>#REF!</v>
      </c>
      <c r="I140" s="194" t="e">
        <f t="shared" si="21"/>
        <v>#REF!</v>
      </c>
    </row>
    <row r="141" spans="1:9" hidden="1">
      <c r="A141" s="224" t="e">
        <f t="shared" si="22"/>
        <v>#REF!</v>
      </c>
      <c r="B141" s="185" t="e">
        <f t="shared" si="15"/>
        <v>#REF!</v>
      </c>
      <c r="C141" s="194" t="e">
        <f t="shared" si="16"/>
        <v>#REF!</v>
      </c>
      <c r="D141" s="225" t="e">
        <f t="shared" si="17"/>
        <v>#REF!</v>
      </c>
      <c r="E141" s="194" t="e">
        <f t="shared" si="19"/>
        <v>#REF!</v>
      </c>
      <c r="F141" s="190" t="e">
        <f>IF(E141&gt;0,IF('Общие данные'!$B$15&gt;0,E141*'Общие данные'!$B$15,"Без НДС"),0)</f>
        <v>#REF!</v>
      </c>
      <c r="G141" s="194" t="e">
        <f t="shared" si="20"/>
        <v>#REF!</v>
      </c>
      <c r="H141" s="223" t="e">
        <f t="shared" si="14"/>
        <v>#REF!</v>
      </c>
      <c r="I141" s="194" t="e">
        <f t="shared" si="21"/>
        <v>#REF!</v>
      </c>
    </row>
    <row r="142" spans="1:9" hidden="1">
      <c r="A142" s="224" t="e">
        <f t="shared" si="22"/>
        <v>#REF!</v>
      </c>
      <c r="B142" s="185" t="e">
        <f t="shared" si="15"/>
        <v>#REF!</v>
      </c>
      <c r="C142" s="194" t="e">
        <f t="shared" si="16"/>
        <v>#REF!</v>
      </c>
      <c r="D142" s="225" t="e">
        <f t="shared" si="17"/>
        <v>#REF!</v>
      </c>
      <c r="E142" s="194" t="e">
        <f t="shared" si="19"/>
        <v>#REF!</v>
      </c>
      <c r="F142" s="190" t="e">
        <f>IF(E142&gt;0,IF('Общие данные'!$B$15&gt;0,E142*'Общие данные'!$B$15,"Без НДС"),0)</f>
        <v>#REF!</v>
      </c>
      <c r="G142" s="194" t="e">
        <f t="shared" si="20"/>
        <v>#REF!</v>
      </c>
      <c r="H142" s="223" t="e">
        <f t="shared" si="14"/>
        <v>#REF!</v>
      </c>
      <c r="I142" s="194" t="e">
        <f t="shared" si="21"/>
        <v>#REF!</v>
      </c>
    </row>
    <row r="143" spans="1:9" hidden="1">
      <c r="A143" s="226" t="e">
        <f>IF(B143&gt;$E$8,0,IF(B143=0,0,EDATE(A142,1)))</f>
        <v>#REF!</v>
      </c>
      <c r="B143" s="227" t="e">
        <f t="shared" si="15"/>
        <v>#REF!</v>
      </c>
      <c r="C143" s="228" t="e">
        <f t="shared" si="16"/>
        <v>#REF!</v>
      </c>
      <c r="D143" s="229" t="e">
        <f t="shared" si="17"/>
        <v>#REF!</v>
      </c>
      <c r="E143" s="228" t="e">
        <f t="shared" si="19"/>
        <v>#REF!</v>
      </c>
      <c r="F143" s="230" t="e">
        <f>IF(E143&gt;0,IF('Общие данные'!$B$15&gt;0,E143*'Общие данные'!$B$15,"Без НДС"),0)</f>
        <v>#REF!</v>
      </c>
      <c r="G143" s="228" t="e">
        <f t="shared" si="20"/>
        <v>#REF!</v>
      </c>
      <c r="H143" s="231" t="e">
        <f t="shared" si="14"/>
        <v>#REF!</v>
      </c>
      <c r="I143" s="228" t="e">
        <f t="shared" si="21"/>
        <v>#REF!</v>
      </c>
    </row>
    <row r="144" spans="1:9">
      <c r="A144" s="294" t="s">
        <v>39</v>
      </c>
      <c r="B144" s="294"/>
      <c r="C144" s="233"/>
      <c r="D144" s="234"/>
      <c r="E144" s="235" t="e">
        <f>SUM(E24:E143)</f>
        <v>#REF!</v>
      </c>
      <c r="F144" s="236" t="e">
        <f>SUM(F24:F83)</f>
        <v>#REF!</v>
      </c>
      <c r="G144" s="235" t="e">
        <f>SUM(G23:G143)</f>
        <v>#REF!</v>
      </c>
      <c r="H144" s="235"/>
      <c r="I144" s="235" t="e">
        <f>SUM(I23:I143)</f>
        <v>#REF!</v>
      </c>
    </row>
    <row r="145" spans="1:9">
      <c r="A145" s="232"/>
      <c r="B145" s="232"/>
      <c r="C145" s="235"/>
      <c r="D145" s="237"/>
      <c r="E145" s="235"/>
      <c r="F145" s="236"/>
      <c r="G145" s="235">
        <f>E12</f>
        <v>0</v>
      </c>
      <c r="H145" s="235" t="e">
        <f>IF($E$9&gt;'Общие данные'!$B$13,G145*'Общие данные'!$B$14,0)</f>
        <v>#REF!</v>
      </c>
      <c r="I145" s="235"/>
    </row>
    <row r="146" spans="1:9" ht="33" customHeight="1">
      <c r="A146" s="178"/>
      <c r="B146" s="178"/>
      <c r="C146" s="178"/>
      <c r="D146" s="178"/>
      <c r="E146" s="178"/>
      <c r="F146" s="178"/>
      <c r="G146" s="178"/>
      <c r="H146" s="178"/>
      <c r="I146" s="178"/>
    </row>
    <row r="147" spans="1:9">
      <c r="A147" s="292" t="s">
        <v>52</v>
      </c>
      <c r="B147" s="292"/>
      <c r="C147" s="292"/>
      <c r="D147" s="292"/>
      <c r="E147" s="238" t="e">
        <f ca="1">EDATE(E18,E8)</f>
        <v>#REF!</v>
      </c>
      <c r="F147" s="178"/>
      <c r="G147" s="178"/>
      <c r="H147" s="178"/>
      <c r="I147" s="178"/>
    </row>
    <row r="148" spans="1:9">
      <c r="A148" s="178" t="s">
        <v>53</v>
      </c>
      <c r="B148" s="178"/>
      <c r="C148" s="178"/>
      <c r="D148" s="178"/>
      <c r="E148" s="178"/>
      <c r="F148" s="178"/>
      <c r="G148" s="178"/>
      <c r="H148" s="178"/>
      <c r="I148" s="178"/>
    </row>
    <row r="149" spans="1:9">
      <c r="A149" s="178"/>
      <c r="B149" s="178"/>
      <c r="C149" s="178"/>
      <c r="D149" s="178"/>
      <c r="E149" s="178"/>
      <c r="F149" s="178"/>
      <c r="G149" s="178"/>
      <c r="H149" s="178"/>
      <c r="I149" s="178"/>
    </row>
    <row r="150" spans="1:9">
      <c r="A150" s="178" t="s">
        <v>54</v>
      </c>
      <c r="B150" s="178"/>
      <c r="C150" s="178"/>
      <c r="D150" s="178"/>
      <c r="E150" s="178"/>
      <c r="F150" s="178"/>
      <c r="G150" s="178" t="s">
        <v>55</v>
      </c>
      <c r="H150" s="178"/>
      <c r="I150" s="178"/>
    </row>
    <row r="151" spans="1:9">
      <c r="A151" s="239" t="s">
        <v>63</v>
      </c>
      <c r="B151" s="178"/>
      <c r="C151" s="178"/>
      <c r="D151" s="178"/>
      <c r="E151" s="178"/>
      <c r="F151" s="178"/>
      <c r="G151" s="178"/>
      <c r="H151" s="178"/>
      <c r="I151" s="178"/>
    </row>
    <row r="152" spans="1:9">
      <c r="A152" s="178"/>
      <c r="B152" s="178"/>
      <c r="C152" s="178"/>
      <c r="D152" s="178"/>
      <c r="E152" s="178"/>
      <c r="F152" s="178"/>
      <c r="G152" s="178"/>
      <c r="H152" s="178"/>
      <c r="I152" s="178"/>
    </row>
    <row r="153" spans="1:9">
      <c r="A153" s="178" t="s">
        <v>56</v>
      </c>
      <c r="B153" s="178"/>
      <c r="C153" s="240"/>
      <c r="D153" s="240"/>
      <c r="E153" s="178"/>
      <c r="F153" s="178"/>
      <c r="G153" s="240"/>
      <c r="H153" s="293" t="e">
        <f>'Общие данные'!B6</f>
        <v>#REF!</v>
      </c>
      <c r="I153" s="293"/>
    </row>
    <row r="154" spans="1:9">
      <c r="A154" s="178"/>
      <c r="B154" s="178"/>
      <c r="C154" s="178"/>
      <c r="D154" s="178"/>
      <c r="E154" s="178"/>
      <c r="F154" s="178"/>
      <c r="G154" s="178"/>
      <c r="H154" s="178"/>
      <c r="I154" s="178"/>
    </row>
    <row r="155" spans="1:9">
      <c r="A155" s="207">
        <f ca="1">A3</f>
        <v>45791</v>
      </c>
      <c r="B155" s="207"/>
      <c r="C155" s="178"/>
      <c r="D155" s="178"/>
      <c r="E155" s="178"/>
      <c r="F155" s="178"/>
      <c r="G155" s="207">
        <f ca="1">A3</f>
        <v>45791</v>
      </c>
      <c r="H155" s="178"/>
      <c r="I155" s="178"/>
    </row>
    <row r="161" spans="9:9">
      <c r="I161" s="241"/>
    </row>
  </sheetData>
  <sheetProtection autoFilter="0"/>
  <autoFilter ref="A22:I145" xr:uid="{00000000-0009-0000-0000-000015000000}"/>
  <mergeCells count="21">
    <mergeCell ref="A1:G1"/>
    <mergeCell ref="A19:D19"/>
    <mergeCell ref="A5:C5"/>
    <mergeCell ref="A16:D16"/>
    <mergeCell ref="A18:D18"/>
    <mergeCell ref="A8:D8"/>
    <mergeCell ref="A9:D9"/>
    <mergeCell ref="A11:D11"/>
    <mergeCell ref="A15:D15"/>
    <mergeCell ref="A13:D13"/>
    <mergeCell ref="A14:D14"/>
    <mergeCell ref="A147:D147"/>
    <mergeCell ref="H153:I153"/>
    <mergeCell ref="A144:B144"/>
    <mergeCell ref="F2:G2"/>
    <mergeCell ref="A21:D21"/>
    <mergeCell ref="A23:B23"/>
    <mergeCell ref="A12:D12"/>
    <mergeCell ref="A10:C10"/>
    <mergeCell ref="A20:D20"/>
    <mergeCell ref="A6:C6"/>
  </mergeCells>
  <conditionalFormatting sqref="H24:H143">
    <cfRule type="cellIs" dxfId="5" priority="3" operator="equal">
      <formula>0</formula>
    </cfRule>
  </conditionalFormatting>
  <conditionalFormatting sqref="H23">
    <cfRule type="cellIs" dxfId="4" priority="1" operator="equal">
      <formula>0</formula>
    </cfRule>
  </conditionalFormatting>
  <conditionalFormatting sqref="F144">
    <cfRule type="cellIs" dxfId="3" priority="4" operator="equal">
      <formula>0</formula>
    </cfRule>
  </conditionalFormatting>
  <conditionalFormatting sqref="F23:F143">
    <cfRule type="cellIs" dxfId="2" priority="6" operator="equal">
      <formula>0</formula>
    </cfRule>
  </conditionalFormatting>
  <conditionalFormatting sqref="H144">
    <cfRule type="cellIs" dxfId="1" priority="5" operator="equal">
      <formula>0</formula>
    </cfRule>
  </conditionalFormatting>
  <conditionalFormatting sqref="A24:B24 B25:B71 C24:E36 A25:A83 B72:C83 F61:F83 D37:E83 C37:C71 A84:F143 G23:G143 I23:I143 C145:I145 A144">
    <cfRule type="cellIs" dxfId="0" priority="7" operator="equal">
      <formula>0</formula>
    </cfRule>
  </conditionalFormatting>
  <dataValidations count="1">
    <dataValidation type="list" allowBlank="1" showInputMessage="1" showErrorMessage="1" sqref="E20:E21" xr:uid="{00000000-0002-0000-1500-000000000000}">
      <formula1>"0,1,2,3,4,5,6,7,8,9,10,11,12,13,14,15,16,17,18,19,20,21,22,23,24,25,26,27,28,29,30,31,32,33,34,35,36,37,38,39,40,41,42,43,44,45,46,47,48,49,50,51,52,53,54,55,56,57,58,59"</formula1>
    </dataValidation>
  </dataValidations>
  <pageMargins left="0.3" right="0.24" top="0.74803149606299213" bottom="0.74803149606299213" header="0.31496062992125984" footer="0.31496062992125984"/>
  <pageSetup paperSize="9" scale="6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6"/>
  <sheetViews>
    <sheetView workbookViewId="0">
      <selection activeCell="F15" sqref="F15"/>
    </sheetView>
  </sheetViews>
  <sheetFormatPr defaultColWidth="9.140625" defaultRowHeight="15"/>
  <cols>
    <col min="1" max="16384" width="9.140625" style="71"/>
  </cols>
  <sheetData>
    <row r="1" spans="1:19" ht="18.75">
      <c r="A1" s="72" t="s">
        <v>65</v>
      </c>
      <c r="B1" s="73"/>
      <c r="C1" s="73"/>
      <c r="D1" s="73"/>
      <c r="E1" s="73"/>
      <c r="F1" s="74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9" ht="18.75">
      <c r="A2" s="72" t="s">
        <v>66</v>
      </c>
      <c r="B2" s="73"/>
      <c r="C2" s="73"/>
      <c r="D2" s="73"/>
      <c r="E2" s="73"/>
      <c r="F2" s="75" t="s">
        <v>67</v>
      </c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9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>
      <c r="A5" s="73" t="s">
        <v>68</v>
      </c>
      <c r="B5" s="73"/>
      <c r="C5" s="73"/>
      <c r="D5" s="73"/>
      <c r="E5" s="73"/>
      <c r="F5" s="74">
        <f>'Калькулятор 12-48 мес'!K11</f>
        <v>1000</v>
      </c>
      <c r="G5" s="73"/>
      <c r="H5" s="73"/>
      <c r="I5" s="73"/>
      <c r="J5" s="73"/>
      <c r="K5" s="73" t="s">
        <v>69</v>
      </c>
      <c r="L5" s="73"/>
      <c r="M5" s="73"/>
      <c r="N5" s="73"/>
      <c r="O5" s="73"/>
      <c r="P5" s="73"/>
    </row>
    <row r="6" spans="1:19">
      <c r="A6" s="73" t="s">
        <v>70</v>
      </c>
      <c r="B6" s="73"/>
      <c r="C6" s="73"/>
      <c r="D6" s="73"/>
      <c r="E6" s="73"/>
      <c r="F6" s="76">
        <f>G6/F5</f>
        <v>0</v>
      </c>
      <c r="G6" s="74">
        <f>'Калькулятор 12-48 мес'!K13</f>
        <v>0</v>
      </c>
      <c r="H6" s="73"/>
      <c r="I6" s="73" t="s">
        <v>71</v>
      </c>
      <c r="J6" s="73"/>
      <c r="K6" s="77">
        <v>44927</v>
      </c>
      <c r="L6" s="73"/>
      <c r="M6" s="73"/>
      <c r="N6" s="73"/>
      <c r="O6" s="73" t="s">
        <v>72</v>
      </c>
      <c r="P6" s="73"/>
      <c r="Q6" s="73" t="s">
        <v>73</v>
      </c>
      <c r="R6" s="73" t="s">
        <v>74</v>
      </c>
    </row>
    <row r="7" spans="1:19">
      <c r="A7" s="73" t="s">
        <v>75</v>
      </c>
      <c r="B7" s="73"/>
      <c r="C7" s="73"/>
      <c r="D7" s="73"/>
      <c r="E7" s="73"/>
      <c r="F7" s="74">
        <v>12</v>
      </c>
      <c r="G7" s="73"/>
      <c r="H7" s="73"/>
      <c r="I7" s="73" t="s">
        <v>76</v>
      </c>
      <c r="J7" s="73"/>
      <c r="K7" s="73"/>
      <c r="L7" s="73"/>
      <c r="M7" s="73"/>
      <c r="N7" s="73"/>
      <c r="O7" s="73">
        <v>1</v>
      </c>
      <c r="P7" s="73" t="s">
        <v>77</v>
      </c>
      <c r="Q7" s="78"/>
      <c r="R7" s="78"/>
    </row>
    <row r="8" spans="1:19">
      <c r="A8" s="73" t="s">
        <v>78</v>
      </c>
      <c r="B8" s="73"/>
      <c r="C8" s="73"/>
      <c r="D8" s="73"/>
      <c r="E8" s="73"/>
      <c r="F8" s="76">
        <v>0</v>
      </c>
      <c r="G8" s="73"/>
      <c r="H8" s="73"/>
      <c r="I8" s="73"/>
      <c r="J8" s="73"/>
      <c r="K8" s="73"/>
      <c r="L8" s="73" t="s">
        <v>79</v>
      </c>
      <c r="M8" s="73" t="s">
        <v>80</v>
      </c>
      <c r="N8" s="73"/>
      <c r="O8" s="73">
        <v>2</v>
      </c>
      <c r="P8" s="73" t="s">
        <v>81</v>
      </c>
      <c r="Q8" s="79"/>
      <c r="R8" s="79"/>
    </row>
    <row r="9" spans="1:19">
      <c r="A9" s="73" t="s">
        <v>82</v>
      </c>
      <c r="B9" s="73"/>
      <c r="C9" s="73"/>
      <c r="D9" s="73"/>
      <c r="E9" s="73"/>
      <c r="F9" s="74" t="s">
        <v>71</v>
      </c>
      <c r="G9" s="73"/>
      <c r="H9" s="73"/>
      <c r="I9" s="73" t="s">
        <v>83</v>
      </c>
      <c r="J9" s="73"/>
      <c r="K9" s="73" t="s">
        <v>84</v>
      </c>
      <c r="L9" s="76"/>
      <c r="M9" s="74">
        <v>12</v>
      </c>
      <c r="N9" s="73"/>
      <c r="O9" s="73">
        <v>3</v>
      </c>
      <c r="P9" s="73" t="s">
        <v>85</v>
      </c>
      <c r="Q9" s="79"/>
      <c r="R9" s="79"/>
    </row>
    <row r="10" spans="1:19">
      <c r="A10" s="73" t="s">
        <v>86</v>
      </c>
      <c r="B10" s="73"/>
      <c r="C10" s="73"/>
      <c r="D10" s="73"/>
      <c r="E10" s="73"/>
      <c r="F10" s="80">
        <v>1</v>
      </c>
      <c r="G10" s="73"/>
      <c r="H10" s="73"/>
      <c r="I10" s="73" t="s">
        <v>87</v>
      </c>
      <c r="J10" s="73"/>
      <c r="K10" s="73" t="s">
        <v>88</v>
      </c>
      <c r="L10" s="76">
        <v>0</v>
      </c>
      <c r="M10" s="74">
        <v>0</v>
      </c>
      <c r="N10" s="73"/>
      <c r="O10" s="73">
        <v>4</v>
      </c>
      <c r="P10" s="73" t="s">
        <v>89</v>
      </c>
      <c r="Q10" s="79"/>
      <c r="R10" s="79"/>
    </row>
    <row r="11" spans="1:19">
      <c r="A11" s="73" t="s">
        <v>90</v>
      </c>
      <c r="B11" s="73"/>
      <c r="C11" s="73"/>
      <c r="D11" s="73"/>
      <c r="E11" s="73"/>
      <c r="F11" s="74" t="s">
        <v>87</v>
      </c>
      <c r="G11" s="73"/>
      <c r="H11" s="73"/>
      <c r="I11" s="73"/>
      <c r="J11" s="73"/>
      <c r="K11" s="73"/>
      <c r="L11" s="73"/>
      <c r="M11" s="73"/>
      <c r="N11" s="73"/>
      <c r="O11" s="73">
        <v>5</v>
      </c>
      <c r="P11" s="73" t="s">
        <v>91</v>
      </c>
      <c r="Q11" s="79"/>
      <c r="R11" s="79"/>
    </row>
    <row r="12" spans="1:19">
      <c r="A12" s="73" t="s">
        <v>92</v>
      </c>
      <c r="B12" s="73"/>
      <c r="C12" s="73"/>
      <c r="D12" s="73"/>
      <c r="E12" s="73"/>
      <c r="F12" s="76">
        <v>0</v>
      </c>
      <c r="G12" s="76"/>
      <c r="H12" s="73"/>
      <c r="I12" s="73" t="s">
        <v>93</v>
      </c>
      <c r="J12" s="73"/>
      <c r="K12" s="73" t="s">
        <v>94</v>
      </c>
      <c r="L12" s="73"/>
      <c r="M12" s="73"/>
      <c r="N12" s="73"/>
      <c r="O12" s="73">
        <v>6</v>
      </c>
      <c r="P12" s="73" t="s">
        <v>95</v>
      </c>
      <c r="Q12" s="78"/>
      <c r="R12" s="78"/>
    </row>
    <row r="13" spans="1:19">
      <c r="A13" s="73" t="s">
        <v>96</v>
      </c>
      <c r="B13" s="73"/>
      <c r="C13" s="73"/>
      <c r="D13" s="73"/>
      <c r="E13" s="73"/>
      <c r="F13" s="76">
        <v>0.49</v>
      </c>
      <c r="G13" s="76"/>
      <c r="H13" s="73"/>
      <c r="I13" s="73" t="s">
        <v>2</v>
      </c>
      <c r="J13" s="73"/>
      <c r="K13" s="76">
        <v>0</v>
      </c>
      <c r="L13" s="73"/>
      <c r="M13" s="73"/>
      <c r="N13" s="73"/>
      <c r="O13" s="73">
        <v>7</v>
      </c>
      <c r="P13" s="73" t="s">
        <v>97</v>
      </c>
      <c r="Q13" s="78"/>
      <c r="R13" s="78"/>
    </row>
    <row r="14" spans="1:19">
      <c r="A14" s="73" t="s">
        <v>98</v>
      </c>
      <c r="B14" s="73"/>
      <c r="C14" s="73"/>
      <c r="D14" s="73"/>
      <c r="E14" s="73"/>
      <c r="F14" s="76">
        <v>0</v>
      </c>
      <c r="G14" s="76"/>
      <c r="H14" s="73"/>
      <c r="I14" s="73"/>
      <c r="J14" s="73"/>
      <c r="K14" s="73"/>
      <c r="L14" s="73"/>
      <c r="M14" s="73"/>
      <c r="N14" s="73"/>
      <c r="O14" s="73"/>
      <c r="P14" s="73"/>
    </row>
    <row r="15" spans="1:19">
      <c r="A15" s="73" t="s">
        <v>99</v>
      </c>
      <c r="B15" s="73"/>
      <c r="C15" s="73"/>
      <c r="D15" s="73"/>
      <c r="E15" s="73"/>
      <c r="F15" s="76">
        <f>XIRR(M19:M103,B19:B103)</f>
        <v>1.0429102301597597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</row>
    <row r="16" spans="1:19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81"/>
      <c r="P16" s="82"/>
      <c r="R16" s="71" t="str">
        <f>'Калькулятор 12-48 мес'!K12</f>
        <v>ФЛ</v>
      </c>
      <c r="S16" s="71" t="s">
        <v>100</v>
      </c>
    </row>
    <row r="17" spans="1:19">
      <c r="A17" s="83">
        <f>LARGE(A19:A1048576,1)</f>
        <v>84</v>
      </c>
      <c r="B17" s="83">
        <f>IF(A17&lt;F7,"протяните формулы",0)</f>
        <v>0</v>
      </c>
      <c r="C17" s="83">
        <f>SUM(C19:C103)</f>
        <v>8.5265128291212022E-14</v>
      </c>
      <c r="D17" s="83">
        <f t="shared" ref="D17:M17" si="0">SUM(D19:D103)</f>
        <v>265.41666666666657</v>
      </c>
      <c r="E17" s="83">
        <f t="shared" si="0"/>
        <v>0</v>
      </c>
      <c r="F17" s="83">
        <f t="shared" si="0"/>
        <v>0</v>
      </c>
      <c r="G17" s="83">
        <f t="shared" si="0"/>
        <v>0</v>
      </c>
      <c r="H17" s="83">
        <f t="shared" si="0"/>
        <v>265.41666666666657</v>
      </c>
      <c r="I17" s="84"/>
      <c r="J17" s="83">
        <f t="shared" si="0"/>
        <v>0</v>
      </c>
      <c r="K17" s="83">
        <f t="shared" si="0"/>
        <v>0</v>
      </c>
      <c r="L17" s="83">
        <f t="shared" si="0"/>
        <v>0</v>
      </c>
      <c r="M17" s="83">
        <f t="shared" si="0"/>
        <v>418.19444444444423</v>
      </c>
      <c r="N17" s="73"/>
      <c r="O17" s="81"/>
      <c r="P17" s="82"/>
    </row>
    <row r="18" spans="1:19" ht="76.5">
      <c r="A18" s="85" t="s">
        <v>101</v>
      </c>
      <c r="B18" s="85" t="s">
        <v>102</v>
      </c>
      <c r="C18" s="85" t="s">
        <v>103</v>
      </c>
      <c r="D18" s="85" t="s">
        <v>104</v>
      </c>
      <c r="E18" s="85" t="s">
        <v>105</v>
      </c>
      <c r="F18" s="85" t="s">
        <v>106</v>
      </c>
      <c r="G18" s="85" t="s">
        <v>107</v>
      </c>
      <c r="H18" s="85" t="s">
        <v>108</v>
      </c>
      <c r="I18" s="85" t="s">
        <v>109</v>
      </c>
      <c r="J18" s="85" t="s">
        <v>84</v>
      </c>
      <c r="K18" s="85" t="s">
        <v>110</v>
      </c>
      <c r="L18" s="85" t="s">
        <v>111</v>
      </c>
      <c r="M18" s="85" t="s">
        <v>112</v>
      </c>
      <c r="N18" s="85" t="s">
        <v>113</v>
      </c>
      <c r="O18" s="86"/>
      <c r="P18" s="87"/>
      <c r="Q18" s="88"/>
      <c r="R18" s="88"/>
      <c r="S18" s="88"/>
    </row>
    <row r="19" spans="1:19">
      <c r="A19" s="89">
        <v>0</v>
      </c>
      <c r="B19" s="90" t="s">
        <v>114</v>
      </c>
      <c r="C19" s="84">
        <f>IF(F6&gt;=40%,-(F5*60%),-(F5*(1-F6)))</f>
        <v>-1000</v>
      </c>
      <c r="D19" s="84"/>
      <c r="E19" s="84"/>
      <c r="F19" s="84"/>
      <c r="G19" s="84"/>
      <c r="H19" s="84">
        <f>SUM(C19:G19)</f>
        <v>-1000</v>
      </c>
      <c r="I19" s="84">
        <f>C19*20/120</f>
        <v>-166.66666666666666</v>
      </c>
      <c r="J19" s="84">
        <f>-F5*L9</f>
        <v>0</v>
      </c>
      <c r="K19" s="84">
        <f>-F5*L10</f>
        <v>0</v>
      </c>
      <c r="L19" s="84">
        <f>F5*F8</f>
        <v>0</v>
      </c>
      <c r="M19" s="91">
        <f>SUM(C19,D19,G19,J19,K19,L19)</f>
        <v>-1000</v>
      </c>
      <c r="N19" s="84">
        <f>-C19</f>
        <v>1000</v>
      </c>
      <c r="O19" s="81"/>
      <c r="P19" s="82"/>
    </row>
    <row r="20" spans="1:19">
      <c r="A20" s="83">
        <f>A19+1</f>
        <v>1</v>
      </c>
      <c r="B20" s="77">
        <f>EOMONTH(B19,0)+DAY(B19)</f>
        <v>43409</v>
      </c>
      <c r="C20" s="84">
        <f>IF(A20&lt;=$F$7,(IF($F$6&lt;=40%,IF($F$9=$I$6,(-$C$19-$F$5*$K$13)/$F$7+IF(A20=$F$7,$F$5*$K$13,0),MINA(((N19-$F$5*$K$13)/($F$7-A20+1)*$F$10),(N19-$F$5*$K$13))+IF(A20=$F$7,$F$5*$K$13,0)),IF(A20=1,F5*(F6-40%),IF($F$9=$I$6,(-$C$19-$F$5*$K$13)/$F$7+IF(A20=$F$7,$F$5*$K$13,0),MINA(((N19-$F$5*$K$13)/($F$7-A20+1)*$F$10),(N19-$F$5*$K$13))+IF(A20=$F$7,$F$5*$K$13,0))))),0)</f>
        <v>83.333333333333329</v>
      </c>
      <c r="D20" s="84">
        <f>IF(A20&lt;=$F$7,IF($F$11=$I$9,$F$5*$F$12,N19*$F$13/12),0)+-IF(AND(A20&lt;=$M$9,$M$9&lt;&gt;0),$J$19/$M$9,0)+-IF(AND(A20&lt;=$M$10,$M$10&lt;&gt;0),$K$19/$M$10,0)</f>
        <v>40.833333333333336</v>
      </c>
      <c r="E20" s="84">
        <f>IF($R$16="ЮЛ",D20*0.2,0)</f>
        <v>0</v>
      </c>
      <c r="F20" s="84">
        <f>IF(AND(A20&lt;=$F$7,$S$16="ДА"),($F$5*VLOOKUP(ROUNDUP(A20/12,0),$O$7:$Q$13,3,0)/12),0)</f>
        <v>0</v>
      </c>
      <c r="G20" s="84">
        <v>0</v>
      </c>
      <c r="H20" s="84">
        <f>SUM(C20:G20)+SUM(C20:G20)*$F$14</f>
        <v>124.16666666666666</v>
      </c>
      <c r="I20" s="84">
        <f>C20*20/120</f>
        <v>13.888888888888888</v>
      </c>
      <c r="J20" s="84"/>
      <c r="K20" s="84"/>
      <c r="L20" s="84"/>
      <c r="M20" s="91">
        <f>SUM(C20,D20,G20,J20,K20,L20)+SUM(C20:D20,G20,F20)*$F$14</f>
        <v>124.16666666666666</v>
      </c>
      <c r="N20" s="84">
        <f t="shared" ref="N20:N83" si="1">N19-C20</f>
        <v>916.66666666666663</v>
      </c>
      <c r="O20" s="81"/>
      <c r="P20" s="82"/>
    </row>
    <row r="21" spans="1:19">
      <c r="A21" s="83">
        <v>2</v>
      </c>
      <c r="B21" s="77">
        <f t="shared" ref="B21:B84" si="2">EOMONTH(B20,0)+DAY(B20)</f>
        <v>43439</v>
      </c>
      <c r="C21" s="84">
        <f t="shared" ref="C21:C84" si="3">IF(A21&lt;=$F$7,(IF($F$6&lt;=40%,IF($F$9=$I$6,(-$C$19-$F$5*$K$13)/$F$7+IF(A21=$F$7,$F$5*$K$13,0),MINA(((N20-$F$5*$K$13)/($F$7-A21+1)*$F$10),(N20-$F$5*$K$13))+IF(A21=$F$7,$F$5*$K$13,0)),IF(A21=1,F6*(F7-40%),IF($F$9=$I$6,(-$C$19-$F$5*$K$13)/$F$7+IF(A21=$F$7,$F$5*$K$13,0),MINA(((N20-$F$5*$K$13)/($F$7-A21+1)*$F$10),(N20-$F$5*$K$13))+IF(A21=$F$7,$F$5*$K$13,0))))),0)</f>
        <v>83.333333333333329</v>
      </c>
      <c r="D21" s="84">
        <f t="shared" ref="D21:D84" si="4">IF(A21&lt;=$F$7,IF($F$11=$I$9,$F$5*$F$12,N20*$F$13/12),0)+-IF(AND(A21&lt;=$M$9,$M$9&lt;&gt;0),$J$19/$M$9,0)+-IF(AND(A21&lt;=$M$10,$M$10&lt;&gt;0),$K$19/$M$10,0)</f>
        <v>37.43055555555555</v>
      </c>
      <c r="E21" s="84">
        <f t="shared" ref="E21:E84" si="5">IF($R$16="ЮЛ",D21*0.2,0)</f>
        <v>0</v>
      </c>
      <c r="F21" s="84">
        <f t="shared" ref="F21:F84" si="6">IF(AND(A21&lt;=$F$7,$S$16="ДА"),($F$5*VLOOKUP(ROUNDUP(A21/12,0),$O$7:$Q$13,3,0)/12),0)</f>
        <v>0</v>
      </c>
      <c r="G21" s="84">
        <v>0</v>
      </c>
      <c r="H21" s="84">
        <f t="shared" ref="H21:H84" si="7">SUM(C21:G21)+SUM(C21:G21)*$F$14</f>
        <v>120.76388888888889</v>
      </c>
      <c r="I21" s="84">
        <f t="shared" ref="I21:I84" si="8">C21*20/120</f>
        <v>13.888888888888888</v>
      </c>
      <c r="J21" s="84"/>
      <c r="K21" s="84"/>
      <c r="L21" s="84"/>
      <c r="M21" s="91">
        <f t="shared" ref="M21:M84" si="9">SUM(C21,D21,G21,I21,J21,K21,L21)+SUM(C21:D21,G21,F21)*$F$14</f>
        <v>134.65277777777777</v>
      </c>
      <c r="N21" s="84">
        <f t="shared" si="1"/>
        <v>833.33333333333326</v>
      </c>
      <c r="O21" s="81"/>
      <c r="P21" s="81"/>
    </row>
    <row r="22" spans="1:19">
      <c r="A22" s="83">
        <v>3</v>
      </c>
      <c r="B22" s="77">
        <f t="shared" si="2"/>
        <v>43470</v>
      </c>
      <c r="C22" s="84">
        <f t="shared" si="3"/>
        <v>83.333333333333329</v>
      </c>
      <c r="D22" s="84">
        <f t="shared" si="4"/>
        <v>34.027777777777779</v>
      </c>
      <c r="E22" s="84">
        <f t="shared" si="5"/>
        <v>0</v>
      </c>
      <c r="F22" s="84">
        <f t="shared" si="6"/>
        <v>0</v>
      </c>
      <c r="G22" s="84">
        <v>0</v>
      </c>
      <c r="H22" s="84">
        <f t="shared" si="7"/>
        <v>117.36111111111111</v>
      </c>
      <c r="I22" s="84">
        <f t="shared" si="8"/>
        <v>13.888888888888888</v>
      </c>
      <c r="J22" s="84"/>
      <c r="K22" s="84"/>
      <c r="L22" s="84"/>
      <c r="M22" s="91">
        <f t="shared" si="9"/>
        <v>131.25</v>
      </c>
      <c r="N22" s="84">
        <f t="shared" si="1"/>
        <v>749.99999999999989</v>
      </c>
      <c r="O22" s="81"/>
      <c r="P22" s="82"/>
    </row>
    <row r="23" spans="1:19">
      <c r="A23" s="83">
        <v>4</v>
      </c>
      <c r="B23" s="77">
        <f t="shared" si="2"/>
        <v>43501</v>
      </c>
      <c r="C23" s="84">
        <f t="shared" si="3"/>
        <v>83.333333333333329</v>
      </c>
      <c r="D23" s="84">
        <f t="shared" si="4"/>
        <v>30.624999999999996</v>
      </c>
      <c r="E23" s="84">
        <f t="shared" si="5"/>
        <v>0</v>
      </c>
      <c r="F23" s="84">
        <f t="shared" si="6"/>
        <v>0</v>
      </c>
      <c r="G23" s="84">
        <v>0</v>
      </c>
      <c r="H23" s="84">
        <f t="shared" si="7"/>
        <v>113.95833333333333</v>
      </c>
      <c r="I23" s="84">
        <f t="shared" si="8"/>
        <v>13.888888888888888</v>
      </c>
      <c r="J23" s="84"/>
      <c r="K23" s="84"/>
      <c r="L23" s="84"/>
      <c r="M23" s="91">
        <f t="shared" si="9"/>
        <v>127.84722222222221</v>
      </c>
      <c r="N23" s="84">
        <f t="shared" si="1"/>
        <v>666.66666666666652</v>
      </c>
      <c r="O23" s="81"/>
      <c r="P23" s="81"/>
    </row>
    <row r="24" spans="1:19">
      <c r="A24" s="83">
        <v>5</v>
      </c>
      <c r="B24" s="77">
        <f t="shared" si="2"/>
        <v>43529</v>
      </c>
      <c r="C24" s="84">
        <f t="shared" si="3"/>
        <v>83.333333333333329</v>
      </c>
      <c r="D24" s="84">
        <f t="shared" si="4"/>
        <v>27.222222222222214</v>
      </c>
      <c r="E24" s="84">
        <f t="shared" si="5"/>
        <v>0</v>
      </c>
      <c r="F24" s="84">
        <f t="shared" si="6"/>
        <v>0</v>
      </c>
      <c r="G24" s="84">
        <v>0</v>
      </c>
      <c r="H24" s="84">
        <f t="shared" si="7"/>
        <v>110.55555555555554</v>
      </c>
      <c r="I24" s="84">
        <f t="shared" si="8"/>
        <v>13.888888888888888</v>
      </c>
      <c r="J24" s="84"/>
      <c r="K24" s="84"/>
      <c r="L24" s="84"/>
      <c r="M24" s="91">
        <f t="shared" si="9"/>
        <v>124.44444444444443</v>
      </c>
      <c r="N24" s="84">
        <f t="shared" si="1"/>
        <v>583.33333333333314</v>
      </c>
      <c r="O24" s="73"/>
      <c r="P24" s="73"/>
    </row>
    <row r="25" spans="1:19">
      <c r="A25" s="83">
        <v>6</v>
      </c>
      <c r="B25" s="77">
        <f t="shared" si="2"/>
        <v>43560</v>
      </c>
      <c r="C25" s="84">
        <f t="shared" si="3"/>
        <v>83.333333333333329</v>
      </c>
      <c r="D25" s="84">
        <f t="shared" si="4"/>
        <v>23.819444444444439</v>
      </c>
      <c r="E25" s="84">
        <f t="shared" si="5"/>
        <v>0</v>
      </c>
      <c r="F25" s="84">
        <f t="shared" si="6"/>
        <v>0</v>
      </c>
      <c r="G25" s="84">
        <v>0</v>
      </c>
      <c r="H25" s="84">
        <f t="shared" si="7"/>
        <v>107.15277777777777</v>
      </c>
      <c r="I25" s="84">
        <f t="shared" si="8"/>
        <v>13.888888888888888</v>
      </c>
      <c r="J25" s="84"/>
      <c r="K25" s="84"/>
      <c r="L25" s="84"/>
      <c r="M25" s="91">
        <f t="shared" si="9"/>
        <v>121.04166666666666</v>
      </c>
      <c r="N25" s="84">
        <f t="shared" si="1"/>
        <v>499.99999999999983</v>
      </c>
      <c r="O25" s="73"/>
      <c r="P25" s="73"/>
    </row>
    <row r="26" spans="1:19">
      <c r="A26" s="83">
        <v>7</v>
      </c>
      <c r="B26" s="77">
        <f t="shared" si="2"/>
        <v>43590</v>
      </c>
      <c r="C26" s="84">
        <f t="shared" si="3"/>
        <v>83.333333333333329</v>
      </c>
      <c r="D26" s="84">
        <f t="shared" si="4"/>
        <v>20.416666666666661</v>
      </c>
      <c r="E26" s="84">
        <f t="shared" si="5"/>
        <v>0</v>
      </c>
      <c r="F26" s="84">
        <f t="shared" si="6"/>
        <v>0</v>
      </c>
      <c r="G26" s="84">
        <v>0</v>
      </c>
      <c r="H26" s="84">
        <f t="shared" si="7"/>
        <v>103.74999999999999</v>
      </c>
      <c r="I26" s="84">
        <f t="shared" si="8"/>
        <v>13.888888888888888</v>
      </c>
      <c r="J26" s="84"/>
      <c r="K26" s="84"/>
      <c r="L26" s="84"/>
      <c r="M26" s="91">
        <f t="shared" si="9"/>
        <v>117.63888888888887</v>
      </c>
      <c r="N26" s="84">
        <f t="shared" si="1"/>
        <v>416.66666666666652</v>
      </c>
      <c r="O26" s="73"/>
      <c r="P26" s="73"/>
    </row>
    <row r="27" spans="1:19">
      <c r="A27" s="83">
        <v>8</v>
      </c>
      <c r="B27" s="77">
        <f t="shared" si="2"/>
        <v>43621</v>
      </c>
      <c r="C27" s="84">
        <f t="shared" si="3"/>
        <v>83.333333333333329</v>
      </c>
      <c r="D27" s="84">
        <f t="shared" si="4"/>
        <v>17.013888888888882</v>
      </c>
      <c r="E27" s="84">
        <f t="shared" si="5"/>
        <v>0</v>
      </c>
      <c r="F27" s="84">
        <f t="shared" si="6"/>
        <v>0</v>
      </c>
      <c r="G27" s="84">
        <v>0</v>
      </c>
      <c r="H27" s="84">
        <f t="shared" si="7"/>
        <v>100.34722222222221</v>
      </c>
      <c r="I27" s="84">
        <f t="shared" si="8"/>
        <v>13.888888888888888</v>
      </c>
      <c r="J27" s="84"/>
      <c r="K27" s="84"/>
      <c r="L27" s="84"/>
      <c r="M27" s="91">
        <f t="shared" si="9"/>
        <v>114.2361111111111</v>
      </c>
      <c r="N27" s="84">
        <f t="shared" si="1"/>
        <v>333.3333333333332</v>
      </c>
      <c r="O27" s="73"/>
      <c r="P27" s="73"/>
    </row>
    <row r="28" spans="1:19">
      <c r="A28" s="83">
        <v>9</v>
      </c>
      <c r="B28" s="77">
        <f t="shared" si="2"/>
        <v>43651</v>
      </c>
      <c r="C28" s="84">
        <f t="shared" si="3"/>
        <v>83.333333333333329</v>
      </c>
      <c r="D28" s="84">
        <f t="shared" si="4"/>
        <v>13.611111111111105</v>
      </c>
      <c r="E28" s="84">
        <f t="shared" si="5"/>
        <v>0</v>
      </c>
      <c r="F28" s="84">
        <f t="shared" si="6"/>
        <v>0</v>
      </c>
      <c r="G28" s="84">
        <v>0</v>
      </c>
      <c r="H28" s="84">
        <f t="shared" si="7"/>
        <v>96.944444444444429</v>
      </c>
      <c r="I28" s="84">
        <f t="shared" si="8"/>
        <v>13.888888888888888</v>
      </c>
      <c r="J28" s="84"/>
      <c r="K28" s="84"/>
      <c r="L28" s="84"/>
      <c r="M28" s="91">
        <f t="shared" si="9"/>
        <v>110.83333333333331</v>
      </c>
      <c r="N28" s="84">
        <f t="shared" si="1"/>
        <v>249.99999999999989</v>
      </c>
      <c r="O28" s="73"/>
      <c r="P28" s="73"/>
    </row>
    <row r="29" spans="1:19">
      <c r="A29" s="83">
        <v>10</v>
      </c>
      <c r="B29" s="77">
        <f t="shared" si="2"/>
        <v>43682</v>
      </c>
      <c r="C29" s="84">
        <f t="shared" si="3"/>
        <v>83.333333333333329</v>
      </c>
      <c r="D29" s="84">
        <f t="shared" si="4"/>
        <v>10.208333333333329</v>
      </c>
      <c r="E29" s="84">
        <f t="shared" si="5"/>
        <v>0</v>
      </c>
      <c r="F29" s="84">
        <f t="shared" si="6"/>
        <v>0</v>
      </c>
      <c r="G29" s="84">
        <v>0</v>
      </c>
      <c r="H29" s="84">
        <f t="shared" si="7"/>
        <v>93.541666666666657</v>
      </c>
      <c r="I29" s="84">
        <f t="shared" si="8"/>
        <v>13.888888888888888</v>
      </c>
      <c r="J29" s="84"/>
      <c r="K29" s="84"/>
      <c r="L29" s="84"/>
      <c r="M29" s="91">
        <f t="shared" si="9"/>
        <v>107.43055555555554</v>
      </c>
      <c r="N29" s="84">
        <f t="shared" si="1"/>
        <v>166.66666666666657</v>
      </c>
      <c r="O29" s="73"/>
      <c r="P29" s="73"/>
    </row>
    <row r="30" spans="1:19">
      <c r="A30" s="83">
        <v>11</v>
      </c>
      <c r="B30" s="77">
        <f t="shared" si="2"/>
        <v>43713</v>
      </c>
      <c r="C30" s="84">
        <f t="shared" si="3"/>
        <v>83.333333333333329</v>
      </c>
      <c r="D30" s="84">
        <f t="shared" si="4"/>
        <v>6.8055555555555509</v>
      </c>
      <c r="E30" s="84">
        <f t="shared" si="5"/>
        <v>0</v>
      </c>
      <c r="F30" s="84">
        <f t="shared" si="6"/>
        <v>0</v>
      </c>
      <c r="G30" s="84">
        <v>0</v>
      </c>
      <c r="H30" s="84">
        <f t="shared" si="7"/>
        <v>90.138888888888886</v>
      </c>
      <c r="I30" s="84">
        <f t="shared" si="8"/>
        <v>13.888888888888888</v>
      </c>
      <c r="J30" s="84"/>
      <c r="K30" s="84"/>
      <c r="L30" s="84"/>
      <c r="M30" s="91">
        <f t="shared" si="9"/>
        <v>104.02777777777777</v>
      </c>
      <c r="N30" s="84">
        <f t="shared" si="1"/>
        <v>83.333333333333243</v>
      </c>
      <c r="O30" s="73"/>
      <c r="P30" s="73"/>
    </row>
    <row r="31" spans="1:19">
      <c r="A31" s="83">
        <v>12</v>
      </c>
      <c r="B31" s="77">
        <f t="shared" si="2"/>
        <v>43743</v>
      </c>
      <c r="C31" s="84">
        <f t="shared" si="3"/>
        <v>83.333333333333329</v>
      </c>
      <c r="D31" s="84">
        <f t="shared" si="4"/>
        <v>3.4027777777777737</v>
      </c>
      <c r="E31" s="84">
        <f t="shared" si="5"/>
        <v>0</v>
      </c>
      <c r="F31" s="84">
        <f t="shared" si="6"/>
        <v>0</v>
      </c>
      <c r="G31" s="84">
        <v>0</v>
      </c>
      <c r="H31" s="84">
        <f t="shared" si="7"/>
        <v>86.7361111111111</v>
      </c>
      <c r="I31" s="84">
        <f t="shared" si="8"/>
        <v>13.888888888888888</v>
      </c>
      <c r="J31" s="84"/>
      <c r="K31" s="84"/>
      <c r="L31" s="84"/>
      <c r="M31" s="91">
        <f t="shared" si="9"/>
        <v>100.62499999999999</v>
      </c>
      <c r="N31" s="84">
        <f t="shared" si="1"/>
        <v>0</v>
      </c>
      <c r="O31" s="73"/>
      <c r="P31" s="73"/>
    </row>
    <row r="32" spans="1:19">
      <c r="A32" s="83">
        <v>13</v>
      </c>
      <c r="B32" s="77">
        <f t="shared" si="2"/>
        <v>43774</v>
      </c>
      <c r="C32" s="84">
        <f t="shared" si="3"/>
        <v>0</v>
      </c>
      <c r="D32" s="84">
        <f t="shared" si="4"/>
        <v>0</v>
      </c>
      <c r="E32" s="84">
        <f t="shared" si="5"/>
        <v>0</v>
      </c>
      <c r="F32" s="84">
        <f t="shared" si="6"/>
        <v>0</v>
      </c>
      <c r="G32" s="84">
        <f t="shared" ref="G32:G95" si="10">IF(A32&lt;=$F$7,$F$5*VLOOKUP(ROUNDUP(A32/12,0),$O$7:$R$13,4,0)/12,0)-F32</f>
        <v>0</v>
      </c>
      <c r="H32" s="84">
        <f t="shared" si="7"/>
        <v>0</v>
      </c>
      <c r="I32" s="84">
        <f t="shared" si="8"/>
        <v>0</v>
      </c>
      <c r="J32" s="84"/>
      <c r="K32" s="84"/>
      <c r="L32" s="84"/>
      <c r="M32" s="91">
        <f t="shared" si="9"/>
        <v>0</v>
      </c>
      <c r="N32" s="84">
        <f t="shared" si="1"/>
        <v>0</v>
      </c>
      <c r="O32" s="73"/>
      <c r="P32" s="73"/>
    </row>
    <row r="33" spans="1:16">
      <c r="A33" s="83">
        <v>14</v>
      </c>
      <c r="B33" s="77">
        <f t="shared" si="2"/>
        <v>43804</v>
      </c>
      <c r="C33" s="84">
        <f t="shared" si="3"/>
        <v>0</v>
      </c>
      <c r="D33" s="84">
        <f t="shared" si="4"/>
        <v>0</v>
      </c>
      <c r="E33" s="84">
        <f t="shared" si="5"/>
        <v>0</v>
      </c>
      <c r="F33" s="84">
        <f t="shared" si="6"/>
        <v>0</v>
      </c>
      <c r="G33" s="84">
        <f t="shared" si="10"/>
        <v>0</v>
      </c>
      <c r="H33" s="84">
        <f t="shared" si="7"/>
        <v>0</v>
      </c>
      <c r="I33" s="84">
        <f t="shared" si="8"/>
        <v>0</v>
      </c>
      <c r="J33" s="84"/>
      <c r="K33" s="84"/>
      <c r="L33" s="84"/>
      <c r="M33" s="91">
        <f t="shared" si="9"/>
        <v>0</v>
      </c>
      <c r="N33" s="84">
        <f t="shared" si="1"/>
        <v>0</v>
      </c>
      <c r="O33" s="73"/>
      <c r="P33" s="73"/>
    </row>
    <row r="34" spans="1:16">
      <c r="A34" s="83">
        <v>15</v>
      </c>
      <c r="B34" s="77">
        <f t="shared" si="2"/>
        <v>43835</v>
      </c>
      <c r="C34" s="84">
        <f t="shared" si="3"/>
        <v>0</v>
      </c>
      <c r="D34" s="84">
        <f t="shared" si="4"/>
        <v>0</v>
      </c>
      <c r="E34" s="84">
        <f t="shared" si="5"/>
        <v>0</v>
      </c>
      <c r="F34" s="84">
        <f t="shared" si="6"/>
        <v>0</v>
      </c>
      <c r="G34" s="84">
        <f t="shared" si="10"/>
        <v>0</v>
      </c>
      <c r="H34" s="84">
        <f t="shared" si="7"/>
        <v>0</v>
      </c>
      <c r="I34" s="84">
        <f t="shared" si="8"/>
        <v>0</v>
      </c>
      <c r="J34" s="84"/>
      <c r="K34" s="84"/>
      <c r="L34" s="84"/>
      <c r="M34" s="91">
        <f t="shared" si="9"/>
        <v>0</v>
      </c>
      <c r="N34" s="84">
        <f t="shared" si="1"/>
        <v>0</v>
      </c>
      <c r="O34" s="73"/>
      <c r="P34" s="73"/>
    </row>
    <row r="35" spans="1:16">
      <c r="A35" s="83">
        <v>16</v>
      </c>
      <c r="B35" s="77">
        <f t="shared" si="2"/>
        <v>43866</v>
      </c>
      <c r="C35" s="84">
        <f t="shared" si="3"/>
        <v>0</v>
      </c>
      <c r="D35" s="84">
        <f t="shared" si="4"/>
        <v>0</v>
      </c>
      <c r="E35" s="84">
        <f t="shared" si="5"/>
        <v>0</v>
      </c>
      <c r="F35" s="84">
        <f t="shared" si="6"/>
        <v>0</v>
      </c>
      <c r="G35" s="84">
        <f t="shared" si="10"/>
        <v>0</v>
      </c>
      <c r="H35" s="84">
        <f t="shared" si="7"/>
        <v>0</v>
      </c>
      <c r="I35" s="84">
        <f t="shared" si="8"/>
        <v>0</v>
      </c>
      <c r="J35" s="84"/>
      <c r="K35" s="84"/>
      <c r="L35" s="84"/>
      <c r="M35" s="91">
        <f t="shared" si="9"/>
        <v>0</v>
      </c>
      <c r="N35" s="84">
        <f t="shared" si="1"/>
        <v>0</v>
      </c>
      <c r="O35" s="73"/>
      <c r="P35" s="73"/>
    </row>
    <row r="36" spans="1:16">
      <c r="A36" s="83">
        <v>17</v>
      </c>
      <c r="B36" s="77">
        <f t="shared" si="2"/>
        <v>43895</v>
      </c>
      <c r="C36" s="84">
        <f t="shared" si="3"/>
        <v>0</v>
      </c>
      <c r="D36" s="84">
        <f t="shared" si="4"/>
        <v>0</v>
      </c>
      <c r="E36" s="84">
        <f t="shared" si="5"/>
        <v>0</v>
      </c>
      <c r="F36" s="84">
        <f t="shared" si="6"/>
        <v>0</v>
      </c>
      <c r="G36" s="84">
        <f t="shared" si="10"/>
        <v>0</v>
      </c>
      <c r="H36" s="84">
        <f t="shared" si="7"/>
        <v>0</v>
      </c>
      <c r="I36" s="84">
        <f t="shared" si="8"/>
        <v>0</v>
      </c>
      <c r="J36" s="84"/>
      <c r="K36" s="84"/>
      <c r="L36" s="84"/>
      <c r="M36" s="91">
        <f t="shared" si="9"/>
        <v>0</v>
      </c>
      <c r="N36" s="84">
        <f t="shared" si="1"/>
        <v>0</v>
      </c>
      <c r="O36" s="73"/>
      <c r="P36" s="73"/>
    </row>
    <row r="37" spans="1:16">
      <c r="A37" s="83">
        <v>18</v>
      </c>
      <c r="B37" s="77">
        <f t="shared" si="2"/>
        <v>43926</v>
      </c>
      <c r="C37" s="84">
        <f t="shared" si="3"/>
        <v>0</v>
      </c>
      <c r="D37" s="84">
        <f t="shared" si="4"/>
        <v>0</v>
      </c>
      <c r="E37" s="84">
        <f t="shared" si="5"/>
        <v>0</v>
      </c>
      <c r="F37" s="84">
        <f t="shared" si="6"/>
        <v>0</v>
      </c>
      <c r="G37" s="84">
        <f t="shared" si="10"/>
        <v>0</v>
      </c>
      <c r="H37" s="84">
        <f t="shared" si="7"/>
        <v>0</v>
      </c>
      <c r="I37" s="84">
        <f t="shared" si="8"/>
        <v>0</v>
      </c>
      <c r="J37" s="84"/>
      <c r="K37" s="84"/>
      <c r="L37" s="84"/>
      <c r="M37" s="91">
        <f t="shared" si="9"/>
        <v>0</v>
      </c>
      <c r="N37" s="84">
        <f t="shared" si="1"/>
        <v>0</v>
      </c>
      <c r="O37" s="73"/>
      <c r="P37" s="73"/>
    </row>
    <row r="38" spans="1:16">
      <c r="A38" s="83">
        <v>19</v>
      </c>
      <c r="B38" s="77">
        <f t="shared" si="2"/>
        <v>43956</v>
      </c>
      <c r="C38" s="84">
        <f t="shared" si="3"/>
        <v>0</v>
      </c>
      <c r="D38" s="84">
        <f t="shared" si="4"/>
        <v>0</v>
      </c>
      <c r="E38" s="84">
        <f t="shared" si="5"/>
        <v>0</v>
      </c>
      <c r="F38" s="84">
        <f t="shared" si="6"/>
        <v>0</v>
      </c>
      <c r="G38" s="84">
        <f t="shared" si="10"/>
        <v>0</v>
      </c>
      <c r="H38" s="84">
        <f t="shared" si="7"/>
        <v>0</v>
      </c>
      <c r="I38" s="84">
        <f t="shared" si="8"/>
        <v>0</v>
      </c>
      <c r="J38" s="84"/>
      <c r="K38" s="84"/>
      <c r="L38" s="84"/>
      <c r="M38" s="91">
        <f t="shared" si="9"/>
        <v>0</v>
      </c>
      <c r="N38" s="84">
        <f t="shared" si="1"/>
        <v>0</v>
      </c>
      <c r="O38" s="73"/>
      <c r="P38" s="73"/>
    </row>
    <row r="39" spans="1:16">
      <c r="A39" s="83">
        <v>20</v>
      </c>
      <c r="B39" s="77">
        <f t="shared" si="2"/>
        <v>43987</v>
      </c>
      <c r="C39" s="84">
        <f t="shared" si="3"/>
        <v>0</v>
      </c>
      <c r="D39" s="84">
        <f t="shared" si="4"/>
        <v>0</v>
      </c>
      <c r="E39" s="84">
        <f t="shared" si="5"/>
        <v>0</v>
      </c>
      <c r="F39" s="84">
        <f t="shared" si="6"/>
        <v>0</v>
      </c>
      <c r="G39" s="84">
        <f t="shared" si="10"/>
        <v>0</v>
      </c>
      <c r="H39" s="84">
        <f t="shared" si="7"/>
        <v>0</v>
      </c>
      <c r="I39" s="84">
        <f t="shared" si="8"/>
        <v>0</v>
      </c>
      <c r="J39" s="84"/>
      <c r="K39" s="84"/>
      <c r="L39" s="84"/>
      <c r="M39" s="91">
        <f t="shared" si="9"/>
        <v>0</v>
      </c>
      <c r="N39" s="84">
        <f t="shared" si="1"/>
        <v>0</v>
      </c>
      <c r="O39" s="73"/>
      <c r="P39" s="73"/>
    </row>
    <row r="40" spans="1:16">
      <c r="A40" s="83">
        <v>21</v>
      </c>
      <c r="B40" s="77">
        <f t="shared" si="2"/>
        <v>44017</v>
      </c>
      <c r="C40" s="84">
        <f t="shared" si="3"/>
        <v>0</v>
      </c>
      <c r="D40" s="84">
        <f t="shared" si="4"/>
        <v>0</v>
      </c>
      <c r="E40" s="84">
        <f t="shared" si="5"/>
        <v>0</v>
      </c>
      <c r="F40" s="84">
        <f t="shared" si="6"/>
        <v>0</v>
      </c>
      <c r="G40" s="84">
        <f t="shared" si="10"/>
        <v>0</v>
      </c>
      <c r="H40" s="84">
        <f t="shared" si="7"/>
        <v>0</v>
      </c>
      <c r="I40" s="84">
        <f t="shared" si="8"/>
        <v>0</v>
      </c>
      <c r="J40" s="84"/>
      <c r="K40" s="84"/>
      <c r="L40" s="84"/>
      <c r="M40" s="91">
        <f t="shared" si="9"/>
        <v>0</v>
      </c>
      <c r="N40" s="84">
        <f t="shared" si="1"/>
        <v>0</v>
      </c>
      <c r="O40" s="73"/>
      <c r="P40" s="73"/>
    </row>
    <row r="41" spans="1:16">
      <c r="A41" s="83">
        <v>22</v>
      </c>
      <c r="B41" s="77">
        <f t="shared" si="2"/>
        <v>44048</v>
      </c>
      <c r="C41" s="84">
        <f t="shared" si="3"/>
        <v>0</v>
      </c>
      <c r="D41" s="84">
        <f t="shared" si="4"/>
        <v>0</v>
      </c>
      <c r="E41" s="84">
        <f t="shared" si="5"/>
        <v>0</v>
      </c>
      <c r="F41" s="84">
        <f t="shared" si="6"/>
        <v>0</v>
      </c>
      <c r="G41" s="84">
        <f t="shared" si="10"/>
        <v>0</v>
      </c>
      <c r="H41" s="84">
        <f t="shared" si="7"/>
        <v>0</v>
      </c>
      <c r="I41" s="84">
        <f t="shared" si="8"/>
        <v>0</v>
      </c>
      <c r="J41" s="84"/>
      <c r="K41" s="84"/>
      <c r="L41" s="84"/>
      <c r="M41" s="91">
        <f t="shared" si="9"/>
        <v>0</v>
      </c>
      <c r="N41" s="84">
        <f t="shared" si="1"/>
        <v>0</v>
      </c>
      <c r="O41" s="73"/>
      <c r="P41" s="73"/>
    </row>
    <row r="42" spans="1:16">
      <c r="A42" s="83">
        <v>23</v>
      </c>
      <c r="B42" s="77">
        <f t="shared" si="2"/>
        <v>44079</v>
      </c>
      <c r="C42" s="84">
        <f t="shared" si="3"/>
        <v>0</v>
      </c>
      <c r="D42" s="84">
        <f t="shared" si="4"/>
        <v>0</v>
      </c>
      <c r="E42" s="84">
        <f t="shared" si="5"/>
        <v>0</v>
      </c>
      <c r="F42" s="84">
        <f t="shared" si="6"/>
        <v>0</v>
      </c>
      <c r="G42" s="84">
        <f t="shared" si="10"/>
        <v>0</v>
      </c>
      <c r="H42" s="84">
        <f t="shared" si="7"/>
        <v>0</v>
      </c>
      <c r="I42" s="84">
        <f t="shared" si="8"/>
        <v>0</v>
      </c>
      <c r="J42" s="84"/>
      <c r="K42" s="84"/>
      <c r="L42" s="84"/>
      <c r="M42" s="91">
        <f t="shared" si="9"/>
        <v>0</v>
      </c>
      <c r="N42" s="84">
        <f t="shared" si="1"/>
        <v>0</v>
      </c>
      <c r="O42" s="73"/>
      <c r="P42" s="73"/>
    </row>
    <row r="43" spans="1:16">
      <c r="A43" s="83">
        <v>24</v>
      </c>
      <c r="B43" s="77">
        <f t="shared" si="2"/>
        <v>44109</v>
      </c>
      <c r="C43" s="84">
        <f t="shared" si="3"/>
        <v>0</v>
      </c>
      <c r="D43" s="84">
        <f t="shared" si="4"/>
        <v>0</v>
      </c>
      <c r="E43" s="84">
        <f t="shared" si="5"/>
        <v>0</v>
      </c>
      <c r="F43" s="84">
        <f t="shared" si="6"/>
        <v>0</v>
      </c>
      <c r="G43" s="84">
        <f t="shared" si="10"/>
        <v>0</v>
      </c>
      <c r="H43" s="84">
        <f t="shared" si="7"/>
        <v>0</v>
      </c>
      <c r="I43" s="84">
        <f t="shared" si="8"/>
        <v>0</v>
      </c>
      <c r="J43" s="84"/>
      <c r="K43" s="84"/>
      <c r="L43" s="84"/>
      <c r="M43" s="91">
        <f t="shared" si="9"/>
        <v>0</v>
      </c>
      <c r="N43" s="84">
        <f t="shared" si="1"/>
        <v>0</v>
      </c>
      <c r="O43" s="73"/>
      <c r="P43" s="73"/>
    </row>
    <row r="44" spans="1:16">
      <c r="A44" s="83">
        <v>25</v>
      </c>
      <c r="B44" s="77">
        <f t="shared" si="2"/>
        <v>44140</v>
      </c>
      <c r="C44" s="84">
        <f t="shared" si="3"/>
        <v>0</v>
      </c>
      <c r="D44" s="84">
        <f t="shared" si="4"/>
        <v>0</v>
      </c>
      <c r="E44" s="84">
        <f t="shared" si="5"/>
        <v>0</v>
      </c>
      <c r="F44" s="84">
        <f t="shared" si="6"/>
        <v>0</v>
      </c>
      <c r="G44" s="84">
        <f t="shared" si="10"/>
        <v>0</v>
      </c>
      <c r="H44" s="84">
        <f t="shared" si="7"/>
        <v>0</v>
      </c>
      <c r="I44" s="84">
        <f t="shared" si="8"/>
        <v>0</v>
      </c>
      <c r="J44" s="84"/>
      <c r="K44" s="84"/>
      <c r="L44" s="84"/>
      <c r="M44" s="91">
        <f t="shared" si="9"/>
        <v>0</v>
      </c>
      <c r="N44" s="84">
        <f t="shared" si="1"/>
        <v>0</v>
      </c>
      <c r="O44" s="73"/>
      <c r="P44" s="73"/>
    </row>
    <row r="45" spans="1:16">
      <c r="A45" s="83">
        <v>26</v>
      </c>
      <c r="B45" s="77">
        <f t="shared" si="2"/>
        <v>44170</v>
      </c>
      <c r="C45" s="84">
        <f t="shared" si="3"/>
        <v>0</v>
      </c>
      <c r="D45" s="84">
        <f t="shared" si="4"/>
        <v>0</v>
      </c>
      <c r="E45" s="84">
        <f t="shared" si="5"/>
        <v>0</v>
      </c>
      <c r="F45" s="84">
        <f t="shared" si="6"/>
        <v>0</v>
      </c>
      <c r="G45" s="84">
        <f t="shared" si="10"/>
        <v>0</v>
      </c>
      <c r="H45" s="84">
        <f t="shared" si="7"/>
        <v>0</v>
      </c>
      <c r="I45" s="84">
        <f t="shared" si="8"/>
        <v>0</v>
      </c>
      <c r="J45" s="84"/>
      <c r="K45" s="84"/>
      <c r="L45" s="84"/>
      <c r="M45" s="91">
        <f t="shared" si="9"/>
        <v>0</v>
      </c>
      <c r="N45" s="84">
        <f t="shared" si="1"/>
        <v>0</v>
      </c>
      <c r="O45" s="73"/>
      <c r="P45" s="73"/>
    </row>
    <row r="46" spans="1:16">
      <c r="A46" s="83">
        <v>27</v>
      </c>
      <c r="B46" s="77">
        <f t="shared" si="2"/>
        <v>44201</v>
      </c>
      <c r="C46" s="84">
        <f t="shared" si="3"/>
        <v>0</v>
      </c>
      <c r="D46" s="84">
        <f t="shared" si="4"/>
        <v>0</v>
      </c>
      <c r="E46" s="84">
        <f t="shared" si="5"/>
        <v>0</v>
      </c>
      <c r="F46" s="84">
        <f t="shared" si="6"/>
        <v>0</v>
      </c>
      <c r="G46" s="84">
        <f t="shared" si="10"/>
        <v>0</v>
      </c>
      <c r="H46" s="84">
        <f t="shared" si="7"/>
        <v>0</v>
      </c>
      <c r="I46" s="84">
        <f t="shared" si="8"/>
        <v>0</v>
      </c>
      <c r="J46" s="84"/>
      <c r="K46" s="84"/>
      <c r="L46" s="84"/>
      <c r="M46" s="91">
        <f t="shared" si="9"/>
        <v>0</v>
      </c>
      <c r="N46" s="84">
        <f t="shared" si="1"/>
        <v>0</v>
      </c>
      <c r="O46" s="73"/>
      <c r="P46" s="73"/>
    </row>
    <row r="47" spans="1:16">
      <c r="A47" s="83">
        <v>28</v>
      </c>
      <c r="B47" s="77">
        <f t="shared" si="2"/>
        <v>44232</v>
      </c>
      <c r="C47" s="84">
        <f t="shared" si="3"/>
        <v>0</v>
      </c>
      <c r="D47" s="84">
        <f t="shared" si="4"/>
        <v>0</v>
      </c>
      <c r="E47" s="84">
        <f t="shared" si="5"/>
        <v>0</v>
      </c>
      <c r="F47" s="84">
        <f t="shared" si="6"/>
        <v>0</v>
      </c>
      <c r="G47" s="84">
        <f t="shared" si="10"/>
        <v>0</v>
      </c>
      <c r="H47" s="84">
        <f t="shared" si="7"/>
        <v>0</v>
      </c>
      <c r="I47" s="84">
        <f t="shared" si="8"/>
        <v>0</v>
      </c>
      <c r="J47" s="84"/>
      <c r="K47" s="84"/>
      <c r="L47" s="84"/>
      <c r="M47" s="91">
        <f t="shared" si="9"/>
        <v>0</v>
      </c>
      <c r="N47" s="84">
        <f t="shared" si="1"/>
        <v>0</v>
      </c>
      <c r="O47" s="73"/>
      <c r="P47" s="73"/>
    </row>
    <row r="48" spans="1:16">
      <c r="A48" s="83">
        <v>29</v>
      </c>
      <c r="B48" s="77">
        <f t="shared" si="2"/>
        <v>44260</v>
      </c>
      <c r="C48" s="84">
        <f t="shared" si="3"/>
        <v>0</v>
      </c>
      <c r="D48" s="84">
        <f t="shared" si="4"/>
        <v>0</v>
      </c>
      <c r="E48" s="84">
        <f t="shared" si="5"/>
        <v>0</v>
      </c>
      <c r="F48" s="84">
        <f t="shared" si="6"/>
        <v>0</v>
      </c>
      <c r="G48" s="84">
        <f t="shared" si="10"/>
        <v>0</v>
      </c>
      <c r="H48" s="84">
        <f t="shared" si="7"/>
        <v>0</v>
      </c>
      <c r="I48" s="84">
        <f t="shared" si="8"/>
        <v>0</v>
      </c>
      <c r="J48" s="84"/>
      <c r="K48" s="84"/>
      <c r="L48" s="84"/>
      <c r="M48" s="91">
        <f t="shared" si="9"/>
        <v>0</v>
      </c>
      <c r="N48" s="84">
        <f t="shared" si="1"/>
        <v>0</v>
      </c>
      <c r="O48" s="73"/>
      <c r="P48" s="73"/>
    </row>
    <row r="49" spans="1:16">
      <c r="A49" s="83">
        <v>30</v>
      </c>
      <c r="B49" s="77">
        <f t="shared" si="2"/>
        <v>44291</v>
      </c>
      <c r="C49" s="84">
        <f t="shared" si="3"/>
        <v>0</v>
      </c>
      <c r="D49" s="84">
        <f t="shared" si="4"/>
        <v>0</v>
      </c>
      <c r="E49" s="84">
        <f t="shared" si="5"/>
        <v>0</v>
      </c>
      <c r="F49" s="84">
        <f t="shared" si="6"/>
        <v>0</v>
      </c>
      <c r="G49" s="84">
        <f t="shared" si="10"/>
        <v>0</v>
      </c>
      <c r="H49" s="84">
        <f t="shared" si="7"/>
        <v>0</v>
      </c>
      <c r="I49" s="84">
        <f t="shared" si="8"/>
        <v>0</v>
      </c>
      <c r="J49" s="84"/>
      <c r="K49" s="84"/>
      <c r="L49" s="84"/>
      <c r="M49" s="91">
        <f t="shared" si="9"/>
        <v>0</v>
      </c>
      <c r="N49" s="84">
        <f t="shared" si="1"/>
        <v>0</v>
      </c>
      <c r="O49" s="73"/>
      <c r="P49" s="73"/>
    </row>
    <row r="50" spans="1:16">
      <c r="A50" s="83">
        <v>31</v>
      </c>
      <c r="B50" s="77">
        <f t="shared" si="2"/>
        <v>44321</v>
      </c>
      <c r="C50" s="84">
        <f t="shared" si="3"/>
        <v>0</v>
      </c>
      <c r="D50" s="84">
        <f t="shared" si="4"/>
        <v>0</v>
      </c>
      <c r="E50" s="84">
        <f t="shared" si="5"/>
        <v>0</v>
      </c>
      <c r="F50" s="84">
        <f t="shared" si="6"/>
        <v>0</v>
      </c>
      <c r="G50" s="84">
        <f t="shared" si="10"/>
        <v>0</v>
      </c>
      <c r="H50" s="84">
        <f t="shared" si="7"/>
        <v>0</v>
      </c>
      <c r="I50" s="84">
        <f t="shared" si="8"/>
        <v>0</v>
      </c>
      <c r="J50" s="84"/>
      <c r="K50" s="84"/>
      <c r="L50" s="84"/>
      <c r="M50" s="91">
        <f t="shared" si="9"/>
        <v>0</v>
      </c>
      <c r="N50" s="84">
        <f t="shared" si="1"/>
        <v>0</v>
      </c>
      <c r="O50" s="73"/>
      <c r="P50" s="73"/>
    </row>
    <row r="51" spans="1:16">
      <c r="A51" s="83">
        <v>32</v>
      </c>
      <c r="B51" s="77">
        <f t="shared" si="2"/>
        <v>44352</v>
      </c>
      <c r="C51" s="84">
        <f t="shared" si="3"/>
        <v>0</v>
      </c>
      <c r="D51" s="84">
        <f t="shared" si="4"/>
        <v>0</v>
      </c>
      <c r="E51" s="84">
        <f t="shared" si="5"/>
        <v>0</v>
      </c>
      <c r="F51" s="84">
        <f t="shared" si="6"/>
        <v>0</v>
      </c>
      <c r="G51" s="84">
        <f t="shared" si="10"/>
        <v>0</v>
      </c>
      <c r="H51" s="84">
        <f t="shared" si="7"/>
        <v>0</v>
      </c>
      <c r="I51" s="84">
        <f t="shared" si="8"/>
        <v>0</v>
      </c>
      <c r="J51" s="84"/>
      <c r="K51" s="84"/>
      <c r="L51" s="84"/>
      <c r="M51" s="91">
        <f t="shared" si="9"/>
        <v>0</v>
      </c>
      <c r="N51" s="84">
        <f t="shared" si="1"/>
        <v>0</v>
      </c>
      <c r="O51" s="73"/>
      <c r="P51" s="73"/>
    </row>
    <row r="52" spans="1:16">
      <c r="A52" s="83">
        <v>33</v>
      </c>
      <c r="B52" s="77">
        <f t="shared" si="2"/>
        <v>44382</v>
      </c>
      <c r="C52" s="84">
        <f t="shared" si="3"/>
        <v>0</v>
      </c>
      <c r="D52" s="84">
        <f t="shared" si="4"/>
        <v>0</v>
      </c>
      <c r="E52" s="84">
        <f t="shared" si="5"/>
        <v>0</v>
      </c>
      <c r="F52" s="84">
        <f t="shared" si="6"/>
        <v>0</v>
      </c>
      <c r="G52" s="84">
        <f t="shared" si="10"/>
        <v>0</v>
      </c>
      <c r="H52" s="84">
        <f t="shared" si="7"/>
        <v>0</v>
      </c>
      <c r="I52" s="84">
        <f t="shared" si="8"/>
        <v>0</v>
      </c>
      <c r="J52" s="84"/>
      <c r="K52" s="84"/>
      <c r="L52" s="84"/>
      <c r="M52" s="91">
        <f t="shared" si="9"/>
        <v>0</v>
      </c>
      <c r="N52" s="84">
        <f t="shared" si="1"/>
        <v>0</v>
      </c>
      <c r="O52" s="73"/>
      <c r="P52" s="73"/>
    </row>
    <row r="53" spans="1:16">
      <c r="A53" s="83">
        <v>34</v>
      </c>
      <c r="B53" s="77">
        <f t="shared" si="2"/>
        <v>44413</v>
      </c>
      <c r="C53" s="84">
        <f t="shared" si="3"/>
        <v>0</v>
      </c>
      <c r="D53" s="84">
        <f t="shared" si="4"/>
        <v>0</v>
      </c>
      <c r="E53" s="84">
        <f t="shared" si="5"/>
        <v>0</v>
      </c>
      <c r="F53" s="84">
        <f t="shared" si="6"/>
        <v>0</v>
      </c>
      <c r="G53" s="84">
        <f t="shared" si="10"/>
        <v>0</v>
      </c>
      <c r="H53" s="84">
        <f t="shared" si="7"/>
        <v>0</v>
      </c>
      <c r="I53" s="84">
        <f t="shared" si="8"/>
        <v>0</v>
      </c>
      <c r="J53" s="84"/>
      <c r="K53" s="84"/>
      <c r="L53" s="84"/>
      <c r="M53" s="91">
        <f t="shared" si="9"/>
        <v>0</v>
      </c>
      <c r="N53" s="84">
        <f t="shared" si="1"/>
        <v>0</v>
      </c>
      <c r="O53" s="73"/>
      <c r="P53" s="73"/>
    </row>
    <row r="54" spans="1:16">
      <c r="A54" s="83">
        <v>35</v>
      </c>
      <c r="B54" s="77">
        <f t="shared" si="2"/>
        <v>44444</v>
      </c>
      <c r="C54" s="84">
        <f t="shared" si="3"/>
        <v>0</v>
      </c>
      <c r="D54" s="84">
        <f t="shared" si="4"/>
        <v>0</v>
      </c>
      <c r="E54" s="84">
        <f t="shared" si="5"/>
        <v>0</v>
      </c>
      <c r="F54" s="84">
        <f t="shared" si="6"/>
        <v>0</v>
      </c>
      <c r="G54" s="84">
        <f t="shared" si="10"/>
        <v>0</v>
      </c>
      <c r="H54" s="84">
        <f t="shared" si="7"/>
        <v>0</v>
      </c>
      <c r="I54" s="84">
        <f t="shared" si="8"/>
        <v>0</v>
      </c>
      <c r="J54" s="84"/>
      <c r="K54" s="84"/>
      <c r="L54" s="84"/>
      <c r="M54" s="91">
        <f t="shared" si="9"/>
        <v>0</v>
      </c>
      <c r="N54" s="84">
        <f t="shared" si="1"/>
        <v>0</v>
      </c>
      <c r="O54" s="73"/>
      <c r="P54" s="73"/>
    </row>
    <row r="55" spans="1:16">
      <c r="A55" s="83">
        <v>36</v>
      </c>
      <c r="B55" s="77">
        <f t="shared" si="2"/>
        <v>44474</v>
      </c>
      <c r="C55" s="84">
        <f t="shared" si="3"/>
        <v>0</v>
      </c>
      <c r="D55" s="84">
        <f t="shared" si="4"/>
        <v>0</v>
      </c>
      <c r="E55" s="84">
        <f t="shared" si="5"/>
        <v>0</v>
      </c>
      <c r="F55" s="84">
        <f t="shared" si="6"/>
        <v>0</v>
      </c>
      <c r="G55" s="84">
        <f t="shared" si="10"/>
        <v>0</v>
      </c>
      <c r="H55" s="84">
        <f t="shared" si="7"/>
        <v>0</v>
      </c>
      <c r="I55" s="84">
        <f t="shared" si="8"/>
        <v>0</v>
      </c>
      <c r="J55" s="84"/>
      <c r="K55" s="84"/>
      <c r="L55" s="84"/>
      <c r="M55" s="91">
        <f t="shared" si="9"/>
        <v>0</v>
      </c>
      <c r="N55" s="84">
        <f t="shared" si="1"/>
        <v>0</v>
      </c>
      <c r="O55" s="73"/>
      <c r="P55" s="73"/>
    </row>
    <row r="56" spans="1:16">
      <c r="A56" s="83">
        <v>37</v>
      </c>
      <c r="B56" s="77">
        <f t="shared" si="2"/>
        <v>44505</v>
      </c>
      <c r="C56" s="84">
        <f t="shared" si="3"/>
        <v>0</v>
      </c>
      <c r="D56" s="84">
        <f t="shared" si="4"/>
        <v>0</v>
      </c>
      <c r="E56" s="84">
        <f t="shared" si="5"/>
        <v>0</v>
      </c>
      <c r="F56" s="84">
        <f t="shared" si="6"/>
        <v>0</v>
      </c>
      <c r="G56" s="84">
        <f t="shared" si="10"/>
        <v>0</v>
      </c>
      <c r="H56" s="84">
        <f t="shared" si="7"/>
        <v>0</v>
      </c>
      <c r="I56" s="84">
        <f t="shared" si="8"/>
        <v>0</v>
      </c>
      <c r="J56" s="84"/>
      <c r="K56" s="84"/>
      <c r="L56" s="84"/>
      <c r="M56" s="91">
        <f t="shared" si="9"/>
        <v>0</v>
      </c>
      <c r="N56" s="84">
        <f t="shared" si="1"/>
        <v>0</v>
      </c>
      <c r="O56" s="73"/>
      <c r="P56" s="73"/>
    </row>
    <row r="57" spans="1:16">
      <c r="A57" s="83">
        <v>38</v>
      </c>
      <c r="B57" s="77">
        <f t="shared" si="2"/>
        <v>44535</v>
      </c>
      <c r="C57" s="84">
        <f t="shared" si="3"/>
        <v>0</v>
      </c>
      <c r="D57" s="84">
        <f t="shared" si="4"/>
        <v>0</v>
      </c>
      <c r="E57" s="84">
        <f t="shared" si="5"/>
        <v>0</v>
      </c>
      <c r="F57" s="84">
        <f t="shared" si="6"/>
        <v>0</v>
      </c>
      <c r="G57" s="84">
        <f t="shared" si="10"/>
        <v>0</v>
      </c>
      <c r="H57" s="84">
        <f t="shared" si="7"/>
        <v>0</v>
      </c>
      <c r="I57" s="84">
        <f t="shared" si="8"/>
        <v>0</v>
      </c>
      <c r="J57" s="84"/>
      <c r="K57" s="84"/>
      <c r="L57" s="84"/>
      <c r="M57" s="91">
        <f t="shared" si="9"/>
        <v>0</v>
      </c>
      <c r="N57" s="84">
        <f t="shared" si="1"/>
        <v>0</v>
      </c>
      <c r="O57" s="73"/>
      <c r="P57" s="73"/>
    </row>
    <row r="58" spans="1:16">
      <c r="A58" s="83">
        <v>39</v>
      </c>
      <c r="B58" s="77">
        <f t="shared" si="2"/>
        <v>44566</v>
      </c>
      <c r="C58" s="84">
        <f t="shared" si="3"/>
        <v>0</v>
      </c>
      <c r="D58" s="84">
        <f t="shared" si="4"/>
        <v>0</v>
      </c>
      <c r="E58" s="84">
        <f t="shared" si="5"/>
        <v>0</v>
      </c>
      <c r="F58" s="84">
        <f t="shared" si="6"/>
        <v>0</v>
      </c>
      <c r="G58" s="84">
        <f t="shared" si="10"/>
        <v>0</v>
      </c>
      <c r="H58" s="84">
        <f t="shared" si="7"/>
        <v>0</v>
      </c>
      <c r="I58" s="84">
        <f t="shared" si="8"/>
        <v>0</v>
      </c>
      <c r="J58" s="84"/>
      <c r="K58" s="84"/>
      <c r="L58" s="84"/>
      <c r="M58" s="91">
        <f t="shared" si="9"/>
        <v>0</v>
      </c>
      <c r="N58" s="84">
        <f t="shared" si="1"/>
        <v>0</v>
      </c>
      <c r="O58" s="73"/>
      <c r="P58" s="73"/>
    </row>
    <row r="59" spans="1:16">
      <c r="A59" s="83">
        <v>40</v>
      </c>
      <c r="B59" s="77">
        <f t="shared" si="2"/>
        <v>44597</v>
      </c>
      <c r="C59" s="84">
        <f t="shared" si="3"/>
        <v>0</v>
      </c>
      <c r="D59" s="84">
        <f t="shared" si="4"/>
        <v>0</v>
      </c>
      <c r="E59" s="84">
        <f t="shared" si="5"/>
        <v>0</v>
      </c>
      <c r="F59" s="84">
        <f t="shared" si="6"/>
        <v>0</v>
      </c>
      <c r="G59" s="84">
        <f t="shared" si="10"/>
        <v>0</v>
      </c>
      <c r="H59" s="84">
        <f t="shared" si="7"/>
        <v>0</v>
      </c>
      <c r="I59" s="84">
        <f t="shared" si="8"/>
        <v>0</v>
      </c>
      <c r="J59" s="84"/>
      <c r="K59" s="84"/>
      <c r="L59" s="84"/>
      <c r="M59" s="91">
        <f t="shared" si="9"/>
        <v>0</v>
      </c>
      <c r="N59" s="84">
        <f t="shared" si="1"/>
        <v>0</v>
      </c>
      <c r="O59" s="73"/>
      <c r="P59" s="73"/>
    </row>
    <row r="60" spans="1:16">
      <c r="A60" s="83">
        <v>41</v>
      </c>
      <c r="B60" s="77">
        <f t="shared" si="2"/>
        <v>44625</v>
      </c>
      <c r="C60" s="84">
        <f t="shared" si="3"/>
        <v>0</v>
      </c>
      <c r="D60" s="84">
        <f t="shared" si="4"/>
        <v>0</v>
      </c>
      <c r="E60" s="84">
        <f t="shared" si="5"/>
        <v>0</v>
      </c>
      <c r="F60" s="84">
        <f t="shared" si="6"/>
        <v>0</v>
      </c>
      <c r="G60" s="84">
        <f t="shared" si="10"/>
        <v>0</v>
      </c>
      <c r="H60" s="84">
        <f t="shared" si="7"/>
        <v>0</v>
      </c>
      <c r="I60" s="84">
        <f t="shared" si="8"/>
        <v>0</v>
      </c>
      <c r="J60" s="84"/>
      <c r="K60" s="84"/>
      <c r="L60" s="84"/>
      <c r="M60" s="91">
        <f t="shared" si="9"/>
        <v>0</v>
      </c>
      <c r="N60" s="84">
        <f t="shared" si="1"/>
        <v>0</v>
      </c>
      <c r="O60" s="73"/>
      <c r="P60" s="73"/>
    </row>
    <row r="61" spans="1:16">
      <c r="A61" s="83">
        <v>42</v>
      </c>
      <c r="B61" s="77">
        <f t="shared" si="2"/>
        <v>44656</v>
      </c>
      <c r="C61" s="84">
        <f t="shared" si="3"/>
        <v>0</v>
      </c>
      <c r="D61" s="84">
        <f t="shared" si="4"/>
        <v>0</v>
      </c>
      <c r="E61" s="84">
        <f t="shared" si="5"/>
        <v>0</v>
      </c>
      <c r="F61" s="84">
        <f t="shared" si="6"/>
        <v>0</v>
      </c>
      <c r="G61" s="84">
        <f t="shared" si="10"/>
        <v>0</v>
      </c>
      <c r="H61" s="84">
        <f t="shared" si="7"/>
        <v>0</v>
      </c>
      <c r="I61" s="84">
        <f t="shared" si="8"/>
        <v>0</v>
      </c>
      <c r="J61" s="84"/>
      <c r="K61" s="84"/>
      <c r="L61" s="84"/>
      <c r="M61" s="91">
        <f t="shared" si="9"/>
        <v>0</v>
      </c>
      <c r="N61" s="84">
        <f t="shared" si="1"/>
        <v>0</v>
      </c>
      <c r="O61" s="73"/>
      <c r="P61" s="73"/>
    </row>
    <row r="62" spans="1:16">
      <c r="A62" s="83">
        <v>43</v>
      </c>
      <c r="B62" s="77">
        <f t="shared" si="2"/>
        <v>44686</v>
      </c>
      <c r="C62" s="84">
        <f t="shared" si="3"/>
        <v>0</v>
      </c>
      <c r="D62" s="84">
        <f t="shared" si="4"/>
        <v>0</v>
      </c>
      <c r="E62" s="84">
        <f t="shared" si="5"/>
        <v>0</v>
      </c>
      <c r="F62" s="84">
        <f t="shared" si="6"/>
        <v>0</v>
      </c>
      <c r="G62" s="84">
        <f t="shared" si="10"/>
        <v>0</v>
      </c>
      <c r="H62" s="84">
        <f t="shared" si="7"/>
        <v>0</v>
      </c>
      <c r="I62" s="84">
        <f t="shared" si="8"/>
        <v>0</v>
      </c>
      <c r="J62" s="84"/>
      <c r="K62" s="84"/>
      <c r="L62" s="84"/>
      <c r="M62" s="91">
        <f t="shared" si="9"/>
        <v>0</v>
      </c>
      <c r="N62" s="84">
        <f t="shared" si="1"/>
        <v>0</v>
      </c>
      <c r="O62" s="73"/>
      <c r="P62" s="73"/>
    </row>
    <row r="63" spans="1:16">
      <c r="A63" s="83">
        <v>44</v>
      </c>
      <c r="B63" s="77">
        <f t="shared" si="2"/>
        <v>44717</v>
      </c>
      <c r="C63" s="84">
        <f t="shared" si="3"/>
        <v>0</v>
      </c>
      <c r="D63" s="84">
        <f t="shared" si="4"/>
        <v>0</v>
      </c>
      <c r="E63" s="84">
        <f t="shared" si="5"/>
        <v>0</v>
      </c>
      <c r="F63" s="84">
        <f t="shared" si="6"/>
        <v>0</v>
      </c>
      <c r="G63" s="84">
        <f t="shared" si="10"/>
        <v>0</v>
      </c>
      <c r="H63" s="84">
        <f t="shared" si="7"/>
        <v>0</v>
      </c>
      <c r="I63" s="84">
        <f t="shared" si="8"/>
        <v>0</v>
      </c>
      <c r="J63" s="84"/>
      <c r="K63" s="84"/>
      <c r="L63" s="84"/>
      <c r="M63" s="91">
        <f t="shared" si="9"/>
        <v>0</v>
      </c>
      <c r="N63" s="84">
        <f t="shared" si="1"/>
        <v>0</v>
      </c>
      <c r="O63" s="73"/>
      <c r="P63" s="73"/>
    </row>
    <row r="64" spans="1:16">
      <c r="A64" s="83">
        <v>45</v>
      </c>
      <c r="B64" s="77">
        <f t="shared" si="2"/>
        <v>44747</v>
      </c>
      <c r="C64" s="84">
        <f t="shared" si="3"/>
        <v>0</v>
      </c>
      <c r="D64" s="84">
        <f t="shared" si="4"/>
        <v>0</v>
      </c>
      <c r="E64" s="84">
        <f t="shared" si="5"/>
        <v>0</v>
      </c>
      <c r="F64" s="84">
        <f t="shared" si="6"/>
        <v>0</v>
      </c>
      <c r="G64" s="84">
        <f t="shared" si="10"/>
        <v>0</v>
      </c>
      <c r="H64" s="84">
        <f t="shared" si="7"/>
        <v>0</v>
      </c>
      <c r="I64" s="84">
        <f t="shared" si="8"/>
        <v>0</v>
      </c>
      <c r="J64" s="84"/>
      <c r="K64" s="84"/>
      <c r="L64" s="84"/>
      <c r="M64" s="91">
        <f t="shared" si="9"/>
        <v>0</v>
      </c>
      <c r="N64" s="84">
        <f t="shared" si="1"/>
        <v>0</v>
      </c>
      <c r="O64" s="73"/>
      <c r="P64" s="73"/>
    </row>
    <row r="65" spans="1:16">
      <c r="A65" s="83">
        <v>46</v>
      </c>
      <c r="B65" s="77">
        <f t="shared" si="2"/>
        <v>44778</v>
      </c>
      <c r="C65" s="84">
        <f t="shared" si="3"/>
        <v>0</v>
      </c>
      <c r="D65" s="84">
        <f t="shared" si="4"/>
        <v>0</v>
      </c>
      <c r="E65" s="84">
        <f t="shared" si="5"/>
        <v>0</v>
      </c>
      <c r="F65" s="84">
        <f t="shared" si="6"/>
        <v>0</v>
      </c>
      <c r="G65" s="84">
        <f t="shared" si="10"/>
        <v>0</v>
      </c>
      <c r="H65" s="84">
        <f t="shared" si="7"/>
        <v>0</v>
      </c>
      <c r="I65" s="84">
        <f t="shared" si="8"/>
        <v>0</v>
      </c>
      <c r="J65" s="84"/>
      <c r="K65" s="84"/>
      <c r="L65" s="84"/>
      <c r="M65" s="91">
        <f t="shared" si="9"/>
        <v>0</v>
      </c>
      <c r="N65" s="84">
        <f t="shared" si="1"/>
        <v>0</v>
      </c>
      <c r="O65" s="73"/>
      <c r="P65" s="73"/>
    </row>
    <row r="66" spans="1:16">
      <c r="A66" s="83">
        <v>47</v>
      </c>
      <c r="B66" s="77">
        <f t="shared" si="2"/>
        <v>44809</v>
      </c>
      <c r="C66" s="84">
        <f t="shared" si="3"/>
        <v>0</v>
      </c>
      <c r="D66" s="84">
        <f t="shared" si="4"/>
        <v>0</v>
      </c>
      <c r="E66" s="84">
        <f t="shared" si="5"/>
        <v>0</v>
      </c>
      <c r="F66" s="84">
        <f t="shared" si="6"/>
        <v>0</v>
      </c>
      <c r="G66" s="84">
        <f t="shared" si="10"/>
        <v>0</v>
      </c>
      <c r="H66" s="84">
        <f t="shared" si="7"/>
        <v>0</v>
      </c>
      <c r="I66" s="84">
        <f t="shared" si="8"/>
        <v>0</v>
      </c>
      <c r="J66" s="84"/>
      <c r="K66" s="84"/>
      <c r="L66" s="84"/>
      <c r="M66" s="91">
        <f t="shared" si="9"/>
        <v>0</v>
      </c>
      <c r="N66" s="84">
        <f t="shared" si="1"/>
        <v>0</v>
      </c>
      <c r="O66" s="73"/>
      <c r="P66" s="73"/>
    </row>
    <row r="67" spans="1:16">
      <c r="A67" s="83">
        <v>48</v>
      </c>
      <c r="B67" s="77">
        <f t="shared" si="2"/>
        <v>44839</v>
      </c>
      <c r="C67" s="84">
        <f t="shared" si="3"/>
        <v>0</v>
      </c>
      <c r="D67" s="84">
        <f t="shared" si="4"/>
        <v>0</v>
      </c>
      <c r="E67" s="84">
        <f t="shared" si="5"/>
        <v>0</v>
      </c>
      <c r="F67" s="84">
        <f t="shared" si="6"/>
        <v>0</v>
      </c>
      <c r="G67" s="84">
        <f t="shared" si="10"/>
        <v>0</v>
      </c>
      <c r="H67" s="84">
        <f t="shared" si="7"/>
        <v>0</v>
      </c>
      <c r="I67" s="84">
        <f t="shared" si="8"/>
        <v>0</v>
      </c>
      <c r="J67" s="84"/>
      <c r="K67" s="84"/>
      <c r="L67" s="84"/>
      <c r="M67" s="91">
        <f t="shared" si="9"/>
        <v>0</v>
      </c>
      <c r="N67" s="84">
        <f t="shared" si="1"/>
        <v>0</v>
      </c>
      <c r="O67" s="73"/>
      <c r="P67" s="73"/>
    </row>
    <row r="68" spans="1:16">
      <c r="A68" s="83">
        <v>49</v>
      </c>
      <c r="B68" s="77">
        <f t="shared" si="2"/>
        <v>44870</v>
      </c>
      <c r="C68" s="84">
        <f t="shared" si="3"/>
        <v>0</v>
      </c>
      <c r="D68" s="84">
        <f t="shared" si="4"/>
        <v>0</v>
      </c>
      <c r="E68" s="84">
        <f t="shared" si="5"/>
        <v>0</v>
      </c>
      <c r="F68" s="84">
        <f t="shared" si="6"/>
        <v>0</v>
      </c>
      <c r="G68" s="84">
        <f t="shared" si="10"/>
        <v>0</v>
      </c>
      <c r="H68" s="84">
        <f t="shared" si="7"/>
        <v>0</v>
      </c>
      <c r="I68" s="84">
        <f t="shared" si="8"/>
        <v>0</v>
      </c>
      <c r="J68" s="84"/>
      <c r="K68" s="84"/>
      <c r="L68" s="84"/>
      <c r="M68" s="91">
        <f t="shared" si="9"/>
        <v>0</v>
      </c>
      <c r="N68" s="84">
        <f t="shared" si="1"/>
        <v>0</v>
      </c>
      <c r="O68" s="73"/>
      <c r="P68" s="73"/>
    </row>
    <row r="69" spans="1:16">
      <c r="A69" s="83">
        <v>50</v>
      </c>
      <c r="B69" s="77">
        <f t="shared" si="2"/>
        <v>44900</v>
      </c>
      <c r="C69" s="84">
        <f t="shared" si="3"/>
        <v>0</v>
      </c>
      <c r="D69" s="84">
        <f t="shared" si="4"/>
        <v>0</v>
      </c>
      <c r="E69" s="84">
        <f t="shared" si="5"/>
        <v>0</v>
      </c>
      <c r="F69" s="84">
        <f t="shared" si="6"/>
        <v>0</v>
      </c>
      <c r="G69" s="84">
        <f t="shared" si="10"/>
        <v>0</v>
      </c>
      <c r="H69" s="84">
        <f t="shared" si="7"/>
        <v>0</v>
      </c>
      <c r="I69" s="84">
        <f t="shared" si="8"/>
        <v>0</v>
      </c>
      <c r="J69" s="84"/>
      <c r="K69" s="84"/>
      <c r="L69" s="84"/>
      <c r="M69" s="91">
        <f t="shared" si="9"/>
        <v>0</v>
      </c>
      <c r="N69" s="84">
        <f t="shared" si="1"/>
        <v>0</v>
      </c>
      <c r="O69" s="73"/>
      <c r="P69" s="73"/>
    </row>
    <row r="70" spans="1:16">
      <c r="A70" s="83">
        <v>51</v>
      </c>
      <c r="B70" s="77">
        <f t="shared" si="2"/>
        <v>44931</v>
      </c>
      <c r="C70" s="84">
        <f t="shared" si="3"/>
        <v>0</v>
      </c>
      <c r="D70" s="84">
        <f t="shared" si="4"/>
        <v>0</v>
      </c>
      <c r="E70" s="84">
        <f t="shared" si="5"/>
        <v>0</v>
      </c>
      <c r="F70" s="84">
        <f t="shared" si="6"/>
        <v>0</v>
      </c>
      <c r="G70" s="84">
        <f t="shared" si="10"/>
        <v>0</v>
      </c>
      <c r="H70" s="84">
        <f t="shared" si="7"/>
        <v>0</v>
      </c>
      <c r="I70" s="84">
        <f t="shared" si="8"/>
        <v>0</v>
      </c>
      <c r="J70" s="84"/>
      <c r="K70" s="84"/>
      <c r="L70" s="84"/>
      <c r="M70" s="91">
        <f t="shared" si="9"/>
        <v>0</v>
      </c>
      <c r="N70" s="84">
        <f t="shared" si="1"/>
        <v>0</v>
      </c>
      <c r="O70" s="73"/>
      <c r="P70" s="73"/>
    </row>
    <row r="71" spans="1:16">
      <c r="A71" s="83">
        <v>52</v>
      </c>
      <c r="B71" s="77">
        <f t="shared" si="2"/>
        <v>44962</v>
      </c>
      <c r="C71" s="84">
        <f t="shared" si="3"/>
        <v>0</v>
      </c>
      <c r="D71" s="84">
        <f t="shared" si="4"/>
        <v>0</v>
      </c>
      <c r="E71" s="84">
        <f t="shared" si="5"/>
        <v>0</v>
      </c>
      <c r="F71" s="84">
        <f t="shared" si="6"/>
        <v>0</v>
      </c>
      <c r="G71" s="84">
        <f t="shared" si="10"/>
        <v>0</v>
      </c>
      <c r="H71" s="84">
        <f t="shared" si="7"/>
        <v>0</v>
      </c>
      <c r="I71" s="84">
        <f t="shared" si="8"/>
        <v>0</v>
      </c>
      <c r="J71" s="84"/>
      <c r="K71" s="84"/>
      <c r="L71" s="84">
        <v>0</v>
      </c>
      <c r="M71" s="91">
        <f t="shared" si="9"/>
        <v>0</v>
      </c>
      <c r="N71" s="84">
        <f t="shared" si="1"/>
        <v>0</v>
      </c>
      <c r="O71" s="73"/>
      <c r="P71" s="73"/>
    </row>
    <row r="72" spans="1:16">
      <c r="A72" s="83">
        <v>53</v>
      </c>
      <c r="B72" s="77">
        <f t="shared" si="2"/>
        <v>44990</v>
      </c>
      <c r="C72" s="84">
        <f t="shared" si="3"/>
        <v>0</v>
      </c>
      <c r="D72" s="84">
        <f t="shared" si="4"/>
        <v>0</v>
      </c>
      <c r="E72" s="84">
        <f t="shared" si="5"/>
        <v>0</v>
      </c>
      <c r="F72" s="84">
        <f t="shared" si="6"/>
        <v>0</v>
      </c>
      <c r="G72" s="84">
        <f t="shared" si="10"/>
        <v>0</v>
      </c>
      <c r="H72" s="84">
        <f t="shared" si="7"/>
        <v>0</v>
      </c>
      <c r="I72" s="84">
        <f t="shared" si="8"/>
        <v>0</v>
      </c>
      <c r="J72" s="84"/>
      <c r="K72" s="84"/>
      <c r="L72" s="84"/>
      <c r="M72" s="91">
        <f t="shared" si="9"/>
        <v>0</v>
      </c>
      <c r="N72" s="84">
        <f t="shared" si="1"/>
        <v>0</v>
      </c>
      <c r="O72" s="73"/>
      <c r="P72" s="73"/>
    </row>
    <row r="73" spans="1:16">
      <c r="A73" s="83">
        <v>54</v>
      </c>
      <c r="B73" s="77">
        <f t="shared" si="2"/>
        <v>45021</v>
      </c>
      <c r="C73" s="84">
        <f t="shared" si="3"/>
        <v>0</v>
      </c>
      <c r="D73" s="84">
        <f t="shared" si="4"/>
        <v>0</v>
      </c>
      <c r="E73" s="84">
        <f t="shared" si="5"/>
        <v>0</v>
      </c>
      <c r="F73" s="84">
        <f t="shared" si="6"/>
        <v>0</v>
      </c>
      <c r="G73" s="84">
        <f t="shared" si="10"/>
        <v>0</v>
      </c>
      <c r="H73" s="84">
        <f t="shared" si="7"/>
        <v>0</v>
      </c>
      <c r="I73" s="84">
        <f t="shared" si="8"/>
        <v>0</v>
      </c>
      <c r="J73" s="84"/>
      <c r="K73" s="84"/>
      <c r="L73" s="84"/>
      <c r="M73" s="91">
        <f t="shared" si="9"/>
        <v>0</v>
      </c>
      <c r="N73" s="84">
        <f t="shared" si="1"/>
        <v>0</v>
      </c>
      <c r="O73" s="73"/>
      <c r="P73" s="73"/>
    </row>
    <row r="74" spans="1:16">
      <c r="A74" s="83">
        <v>55</v>
      </c>
      <c r="B74" s="77">
        <f t="shared" si="2"/>
        <v>45051</v>
      </c>
      <c r="C74" s="84">
        <f t="shared" si="3"/>
        <v>0</v>
      </c>
      <c r="D74" s="84">
        <f t="shared" si="4"/>
        <v>0</v>
      </c>
      <c r="E74" s="84">
        <f t="shared" si="5"/>
        <v>0</v>
      </c>
      <c r="F74" s="84">
        <f t="shared" si="6"/>
        <v>0</v>
      </c>
      <c r="G74" s="84">
        <f t="shared" si="10"/>
        <v>0</v>
      </c>
      <c r="H74" s="84">
        <f t="shared" si="7"/>
        <v>0</v>
      </c>
      <c r="I74" s="84">
        <f t="shared" si="8"/>
        <v>0</v>
      </c>
      <c r="J74" s="84"/>
      <c r="K74" s="84"/>
      <c r="L74" s="84"/>
      <c r="M74" s="91">
        <f t="shared" si="9"/>
        <v>0</v>
      </c>
      <c r="N74" s="84">
        <f t="shared" si="1"/>
        <v>0</v>
      </c>
      <c r="O74" s="73"/>
      <c r="P74" s="73"/>
    </row>
    <row r="75" spans="1:16">
      <c r="A75" s="83">
        <v>56</v>
      </c>
      <c r="B75" s="77">
        <f t="shared" si="2"/>
        <v>45082</v>
      </c>
      <c r="C75" s="84">
        <f t="shared" si="3"/>
        <v>0</v>
      </c>
      <c r="D75" s="84">
        <f t="shared" si="4"/>
        <v>0</v>
      </c>
      <c r="E75" s="84">
        <f t="shared" si="5"/>
        <v>0</v>
      </c>
      <c r="F75" s="84">
        <f t="shared" si="6"/>
        <v>0</v>
      </c>
      <c r="G75" s="84">
        <f t="shared" si="10"/>
        <v>0</v>
      </c>
      <c r="H75" s="84">
        <f t="shared" si="7"/>
        <v>0</v>
      </c>
      <c r="I75" s="84">
        <f t="shared" si="8"/>
        <v>0</v>
      </c>
      <c r="J75" s="84"/>
      <c r="K75" s="84"/>
      <c r="L75" s="84"/>
      <c r="M75" s="91">
        <f t="shared" si="9"/>
        <v>0</v>
      </c>
      <c r="N75" s="84">
        <f t="shared" si="1"/>
        <v>0</v>
      </c>
      <c r="O75" s="73"/>
      <c r="P75" s="73"/>
    </row>
    <row r="76" spans="1:16">
      <c r="A76" s="83">
        <v>57</v>
      </c>
      <c r="B76" s="77">
        <f t="shared" si="2"/>
        <v>45112</v>
      </c>
      <c r="C76" s="84">
        <f t="shared" si="3"/>
        <v>0</v>
      </c>
      <c r="D76" s="84">
        <f t="shared" si="4"/>
        <v>0</v>
      </c>
      <c r="E76" s="84">
        <f t="shared" si="5"/>
        <v>0</v>
      </c>
      <c r="F76" s="84">
        <f t="shared" si="6"/>
        <v>0</v>
      </c>
      <c r="G76" s="84">
        <f t="shared" si="10"/>
        <v>0</v>
      </c>
      <c r="H76" s="84">
        <f t="shared" si="7"/>
        <v>0</v>
      </c>
      <c r="I76" s="84">
        <f t="shared" si="8"/>
        <v>0</v>
      </c>
      <c r="J76" s="84"/>
      <c r="K76" s="84"/>
      <c r="L76" s="84"/>
      <c r="M76" s="91">
        <f t="shared" si="9"/>
        <v>0</v>
      </c>
      <c r="N76" s="84">
        <f t="shared" si="1"/>
        <v>0</v>
      </c>
      <c r="O76" s="73"/>
      <c r="P76" s="73"/>
    </row>
    <row r="77" spans="1:16">
      <c r="A77" s="83">
        <v>58</v>
      </c>
      <c r="B77" s="77">
        <f t="shared" si="2"/>
        <v>45143</v>
      </c>
      <c r="C77" s="84">
        <f t="shared" si="3"/>
        <v>0</v>
      </c>
      <c r="D77" s="84">
        <f t="shared" si="4"/>
        <v>0</v>
      </c>
      <c r="E77" s="84">
        <f t="shared" si="5"/>
        <v>0</v>
      </c>
      <c r="F77" s="84">
        <f t="shared" si="6"/>
        <v>0</v>
      </c>
      <c r="G77" s="84">
        <f t="shared" si="10"/>
        <v>0</v>
      </c>
      <c r="H77" s="84">
        <f t="shared" si="7"/>
        <v>0</v>
      </c>
      <c r="I77" s="84">
        <f t="shared" si="8"/>
        <v>0</v>
      </c>
      <c r="J77" s="84"/>
      <c r="K77" s="84"/>
      <c r="L77" s="84"/>
      <c r="M77" s="91">
        <f t="shared" si="9"/>
        <v>0</v>
      </c>
      <c r="N77" s="84">
        <f t="shared" si="1"/>
        <v>0</v>
      </c>
      <c r="O77" s="73"/>
      <c r="P77" s="73"/>
    </row>
    <row r="78" spans="1:16">
      <c r="A78" s="83">
        <v>59</v>
      </c>
      <c r="B78" s="77">
        <f t="shared" si="2"/>
        <v>45174</v>
      </c>
      <c r="C78" s="84">
        <f t="shared" si="3"/>
        <v>0</v>
      </c>
      <c r="D78" s="84">
        <f t="shared" si="4"/>
        <v>0</v>
      </c>
      <c r="E78" s="84">
        <f t="shared" si="5"/>
        <v>0</v>
      </c>
      <c r="F78" s="84">
        <f t="shared" si="6"/>
        <v>0</v>
      </c>
      <c r="G78" s="84">
        <f t="shared" si="10"/>
        <v>0</v>
      </c>
      <c r="H78" s="84">
        <f t="shared" si="7"/>
        <v>0</v>
      </c>
      <c r="I78" s="84">
        <f t="shared" si="8"/>
        <v>0</v>
      </c>
      <c r="J78" s="84"/>
      <c r="K78" s="84"/>
      <c r="L78" s="84"/>
      <c r="M78" s="91">
        <f t="shared" si="9"/>
        <v>0</v>
      </c>
      <c r="N78" s="84">
        <f t="shared" si="1"/>
        <v>0</v>
      </c>
      <c r="O78" s="73"/>
      <c r="P78" s="73"/>
    </row>
    <row r="79" spans="1:16">
      <c r="A79" s="83">
        <v>60</v>
      </c>
      <c r="B79" s="77">
        <f t="shared" si="2"/>
        <v>45204</v>
      </c>
      <c r="C79" s="84">
        <f t="shared" si="3"/>
        <v>0</v>
      </c>
      <c r="D79" s="84">
        <f t="shared" si="4"/>
        <v>0</v>
      </c>
      <c r="E79" s="84">
        <f t="shared" si="5"/>
        <v>0</v>
      </c>
      <c r="F79" s="84">
        <f t="shared" si="6"/>
        <v>0</v>
      </c>
      <c r="G79" s="84">
        <f t="shared" si="10"/>
        <v>0</v>
      </c>
      <c r="H79" s="84">
        <f t="shared" si="7"/>
        <v>0</v>
      </c>
      <c r="I79" s="84">
        <f t="shared" si="8"/>
        <v>0</v>
      </c>
      <c r="J79" s="84"/>
      <c r="K79" s="84"/>
      <c r="L79" s="84"/>
      <c r="M79" s="91">
        <f t="shared" si="9"/>
        <v>0</v>
      </c>
      <c r="N79" s="84">
        <f t="shared" si="1"/>
        <v>0</v>
      </c>
      <c r="O79" s="73"/>
      <c r="P79" s="73"/>
    </row>
    <row r="80" spans="1:16">
      <c r="A80" s="83">
        <v>61</v>
      </c>
      <c r="B80" s="77">
        <f t="shared" si="2"/>
        <v>45235</v>
      </c>
      <c r="C80" s="84">
        <f t="shared" si="3"/>
        <v>0</v>
      </c>
      <c r="D80" s="84">
        <f t="shared" si="4"/>
        <v>0</v>
      </c>
      <c r="E80" s="84">
        <f t="shared" si="5"/>
        <v>0</v>
      </c>
      <c r="F80" s="84">
        <f t="shared" si="6"/>
        <v>0</v>
      </c>
      <c r="G80" s="84">
        <f t="shared" si="10"/>
        <v>0</v>
      </c>
      <c r="H80" s="84">
        <f t="shared" si="7"/>
        <v>0</v>
      </c>
      <c r="I80" s="84">
        <f t="shared" si="8"/>
        <v>0</v>
      </c>
      <c r="J80" s="84"/>
      <c r="K80" s="84"/>
      <c r="L80" s="84"/>
      <c r="M80" s="91">
        <f t="shared" si="9"/>
        <v>0</v>
      </c>
      <c r="N80" s="84">
        <f t="shared" si="1"/>
        <v>0</v>
      </c>
      <c r="O80" s="73"/>
      <c r="P80" s="73"/>
    </row>
    <row r="81" spans="1:16">
      <c r="A81" s="83">
        <v>62</v>
      </c>
      <c r="B81" s="77">
        <f t="shared" si="2"/>
        <v>45265</v>
      </c>
      <c r="C81" s="84">
        <f t="shared" si="3"/>
        <v>0</v>
      </c>
      <c r="D81" s="84">
        <f t="shared" si="4"/>
        <v>0</v>
      </c>
      <c r="E81" s="84">
        <f t="shared" si="5"/>
        <v>0</v>
      </c>
      <c r="F81" s="84">
        <f t="shared" si="6"/>
        <v>0</v>
      </c>
      <c r="G81" s="84">
        <f t="shared" si="10"/>
        <v>0</v>
      </c>
      <c r="H81" s="84">
        <f t="shared" si="7"/>
        <v>0</v>
      </c>
      <c r="I81" s="84">
        <f t="shared" si="8"/>
        <v>0</v>
      </c>
      <c r="J81" s="84"/>
      <c r="K81" s="84"/>
      <c r="L81" s="84"/>
      <c r="M81" s="91">
        <f t="shared" si="9"/>
        <v>0</v>
      </c>
      <c r="N81" s="84">
        <f t="shared" si="1"/>
        <v>0</v>
      </c>
      <c r="O81" s="73"/>
      <c r="P81" s="73"/>
    </row>
    <row r="82" spans="1:16">
      <c r="A82" s="83">
        <v>63</v>
      </c>
      <c r="B82" s="77">
        <f t="shared" si="2"/>
        <v>45296</v>
      </c>
      <c r="C82" s="84">
        <f t="shared" si="3"/>
        <v>0</v>
      </c>
      <c r="D82" s="84">
        <f t="shared" si="4"/>
        <v>0</v>
      </c>
      <c r="E82" s="84">
        <f t="shared" si="5"/>
        <v>0</v>
      </c>
      <c r="F82" s="84">
        <f t="shared" si="6"/>
        <v>0</v>
      </c>
      <c r="G82" s="84">
        <f t="shared" si="10"/>
        <v>0</v>
      </c>
      <c r="H82" s="84">
        <f t="shared" si="7"/>
        <v>0</v>
      </c>
      <c r="I82" s="84">
        <f t="shared" si="8"/>
        <v>0</v>
      </c>
      <c r="J82" s="84"/>
      <c r="K82" s="84"/>
      <c r="L82" s="84"/>
      <c r="M82" s="91">
        <f t="shared" si="9"/>
        <v>0</v>
      </c>
      <c r="N82" s="84">
        <f t="shared" si="1"/>
        <v>0</v>
      </c>
      <c r="O82" s="73"/>
      <c r="P82" s="73"/>
    </row>
    <row r="83" spans="1:16">
      <c r="A83" s="83">
        <v>64</v>
      </c>
      <c r="B83" s="77">
        <f t="shared" si="2"/>
        <v>45327</v>
      </c>
      <c r="C83" s="84">
        <f t="shared" si="3"/>
        <v>0</v>
      </c>
      <c r="D83" s="84">
        <f t="shared" si="4"/>
        <v>0</v>
      </c>
      <c r="E83" s="84">
        <f t="shared" si="5"/>
        <v>0</v>
      </c>
      <c r="F83" s="84">
        <f t="shared" si="6"/>
        <v>0</v>
      </c>
      <c r="G83" s="84">
        <f t="shared" si="10"/>
        <v>0</v>
      </c>
      <c r="H83" s="84">
        <f t="shared" si="7"/>
        <v>0</v>
      </c>
      <c r="I83" s="84">
        <f t="shared" si="8"/>
        <v>0</v>
      </c>
      <c r="J83" s="84"/>
      <c r="K83" s="84"/>
      <c r="L83" s="84"/>
      <c r="M83" s="91">
        <f t="shared" si="9"/>
        <v>0</v>
      </c>
      <c r="N83" s="84">
        <f t="shared" si="1"/>
        <v>0</v>
      </c>
      <c r="O83" s="73"/>
      <c r="P83" s="73"/>
    </row>
    <row r="84" spans="1:16">
      <c r="A84" s="83">
        <v>65</v>
      </c>
      <c r="B84" s="77">
        <f t="shared" si="2"/>
        <v>45356</v>
      </c>
      <c r="C84" s="84">
        <f t="shared" si="3"/>
        <v>0</v>
      </c>
      <c r="D84" s="84">
        <f t="shared" si="4"/>
        <v>0</v>
      </c>
      <c r="E84" s="84">
        <f t="shared" si="5"/>
        <v>0</v>
      </c>
      <c r="F84" s="84">
        <f t="shared" si="6"/>
        <v>0</v>
      </c>
      <c r="G84" s="84">
        <f t="shared" si="10"/>
        <v>0</v>
      </c>
      <c r="H84" s="84">
        <f t="shared" si="7"/>
        <v>0</v>
      </c>
      <c r="I84" s="84">
        <f t="shared" si="8"/>
        <v>0</v>
      </c>
      <c r="J84" s="84"/>
      <c r="K84" s="84"/>
      <c r="L84" s="84"/>
      <c r="M84" s="91">
        <f t="shared" si="9"/>
        <v>0</v>
      </c>
      <c r="N84" s="84">
        <f t="shared" ref="N84:N103" si="11">N83-C84</f>
        <v>0</v>
      </c>
      <c r="O84" s="73"/>
      <c r="P84" s="73"/>
    </row>
    <row r="85" spans="1:16">
      <c r="A85" s="83">
        <v>66</v>
      </c>
      <c r="B85" s="77">
        <f t="shared" ref="B85:B103" si="12">EOMONTH(B84,0)+DAY(B84)</f>
        <v>45387</v>
      </c>
      <c r="C85" s="84">
        <f t="shared" ref="C85:C103" si="13">IF(A85&lt;=$F$7,(IF($F$6&lt;=40%,IF($F$9=$I$6,(-$C$19-$F$5*$K$13)/$F$7+IF(A85=$F$7,$F$5*$K$13,0),MINA(((N84-$F$5*$K$13)/($F$7-A85+1)*$F$10),(N84-$F$5*$K$13))+IF(A85=$F$7,$F$5*$K$13,0)),IF(A85=1,F70*(F71-40%),IF($F$9=$I$6,(-$C$19-$F$5*$K$13)/$F$7+IF(A85=$F$7,$F$5*$K$13,0),MINA(((N84-$F$5*$K$13)/($F$7-A85+1)*$F$10),(N84-$F$5*$K$13))+IF(A85=$F$7,$F$5*$K$13,0))))),0)</f>
        <v>0</v>
      </c>
      <c r="D85" s="84">
        <f t="shared" ref="D85:D103" si="14">IF(A85&lt;=$F$7,IF($F$11=$I$9,$F$5*$F$12,N84*$F$13/12),0)+-IF(AND(A85&lt;=$M$9,$M$9&lt;&gt;0),$J$19/$M$9,0)+-IF(AND(A85&lt;=$M$10,$M$10&lt;&gt;0),$K$19/$M$10,0)</f>
        <v>0</v>
      </c>
      <c r="E85" s="84">
        <f t="shared" ref="E85:E99" si="15">IF($R$16="ЮЛ",D85*0.2,0)</f>
        <v>0</v>
      </c>
      <c r="F85" s="84">
        <f t="shared" ref="F85:F90" si="16">IF(AND(A85&lt;=$F$7,$S$16="ДА"),($F$5*VLOOKUP(ROUNDUP(A85/12,0),$O$7:$Q$13,3,0)/12),0)</f>
        <v>0</v>
      </c>
      <c r="G85" s="84">
        <f t="shared" si="10"/>
        <v>0</v>
      </c>
      <c r="H85" s="84">
        <f t="shared" ref="H85:H103" si="17">SUM(C85:G85)+SUM(C85:G85)*$F$14</f>
        <v>0</v>
      </c>
      <c r="I85" s="84">
        <f t="shared" ref="I85:I103" si="18">C85*20/120</f>
        <v>0</v>
      </c>
      <c r="J85" s="84"/>
      <c r="K85" s="84"/>
      <c r="L85" s="84"/>
      <c r="M85" s="91">
        <f t="shared" ref="M85:M103" si="19">SUM(C85,D85,G85,I85,J85,K85,L85)+SUM(C85:D85,G85,F85)*$F$14</f>
        <v>0</v>
      </c>
      <c r="N85" s="84">
        <f t="shared" si="11"/>
        <v>0</v>
      </c>
      <c r="O85" s="73"/>
      <c r="P85" s="73"/>
    </row>
    <row r="86" spans="1:16">
      <c r="A86" s="83">
        <v>67</v>
      </c>
      <c r="B86" s="77">
        <f t="shared" si="12"/>
        <v>45417</v>
      </c>
      <c r="C86" s="84">
        <f t="shared" si="13"/>
        <v>0</v>
      </c>
      <c r="D86" s="84">
        <f t="shared" si="14"/>
        <v>0</v>
      </c>
      <c r="E86" s="84">
        <f t="shared" si="15"/>
        <v>0</v>
      </c>
      <c r="F86" s="84">
        <f t="shared" si="16"/>
        <v>0</v>
      </c>
      <c r="G86" s="84">
        <f t="shared" si="10"/>
        <v>0</v>
      </c>
      <c r="H86" s="84">
        <f t="shared" si="17"/>
        <v>0</v>
      </c>
      <c r="I86" s="84">
        <f t="shared" si="18"/>
        <v>0</v>
      </c>
      <c r="J86" s="84"/>
      <c r="K86" s="84"/>
      <c r="L86" s="84"/>
      <c r="M86" s="91">
        <f t="shared" si="19"/>
        <v>0</v>
      </c>
      <c r="N86" s="84">
        <f t="shared" si="11"/>
        <v>0</v>
      </c>
      <c r="O86" s="73"/>
      <c r="P86" s="73"/>
    </row>
    <row r="87" spans="1:16">
      <c r="A87" s="83">
        <v>68</v>
      </c>
      <c r="B87" s="77">
        <f t="shared" si="12"/>
        <v>45448</v>
      </c>
      <c r="C87" s="84">
        <f t="shared" si="13"/>
        <v>0</v>
      </c>
      <c r="D87" s="84">
        <f t="shared" si="14"/>
        <v>0</v>
      </c>
      <c r="E87" s="84">
        <f t="shared" si="15"/>
        <v>0</v>
      </c>
      <c r="F87" s="84">
        <f t="shared" si="16"/>
        <v>0</v>
      </c>
      <c r="G87" s="84">
        <f t="shared" si="10"/>
        <v>0</v>
      </c>
      <c r="H87" s="84">
        <f t="shared" si="17"/>
        <v>0</v>
      </c>
      <c r="I87" s="84">
        <f t="shared" si="18"/>
        <v>0</v>
      </c>
      <c r="J87" s="84"/>
      <c r="K87" s="84"/>
      <c r="L87" s="84"/>
      <c r="M87" s="91">
        <f t="shared" si="19"/>
        <v>0</v>
      </c>
      <c r="N87" s="84">
        <f t="shared" si="11"/>
        <v>0</v>
      </c>
      <c r="O87" s="73"/>
      <c r="P87" s="73"/>
    </row>
    <row r="88" spans="1:16">
      <c r="A88" s="83">
        <v>69</v>
      </c>
      <c r="B88" s="77">
        <f t="shared" si="12"/>
        <v>45478</v>
      </c>
      <c r="C88" s="84">
        <f t="shared" si="13"/>
        <v>0</v>
      </c>
      <c r="D88" s="84">
        <f t="shared" si="14"/>
        <v>0</v>
      </c>
      <c r="E88" s="84">
        <f t="shared" si="15"/>
        <v>0</v>
      </c>
      <c r="F88" s="84">
        <f t="shared" si="16"/>
        <v>0</v>
      </c>
      <c r="G88" s="84">
        <f t="shared" si="10"/>
        <v>0</v>
      </c>
      <c r="H88" s="84">
        <f t="shared" si="17"/>
        <v>0</v>
      </c>
      <c r="I88" s="84">
        <f t="shared" si="18"/>
        <v>0</v>
      </c>
      <c r="J88" s="84"/>
      <c r="K88" s="84"/>
      <c r="L88" s="84"/>
      <c r="M88" s="91">
        <f t="shared" si="19"/>
        <v>0</v>
      </c>
      <c r="N88" s="84">
        <f t="shared" si="11"/>
        <v>0</v>
      </c>
      <c r="O88" s="73"/>
      <c r="P88" s="73"/>
    </row>
    <row r="89" spans="1:16">
      <c r="A89" s="83">
        <v>70</v>
      </c>
      <c r="B89" s="77">
        <f t="shared" si="12"/>
        <v>45509</v>
      </c>
      <c r="C89" s="84">
        <f t="shared" si="13"/>
        <v>0</v>
      </c>
      <c r="D89" s="84">
        <f t="shared" si="14"/>
        <v>0</v>
      </c>
      <c r="E89" s="84">
        <f t="shared" si="15"/>
        <v>0</v>
      </c>
      <c r="F89" s="84">
        <f t="shared" si="16"/>
        <v>0</v>
      </c>
      <c r="G89" s="84">
        <f t="shared" si="10"/>
        <v>0</v>
      </c>
      <c r="H89" s="84">
        <f t="shared" si="17"/>
        <v>0</v>
      </c>
      <c r="I89" s="84">
        <f t="shared" si="18"/>
        <v>0</v>
      </c>
      <c r="J89" s="84"/>
      <c r="K89" s="84"/>
      <c r="L89" s="84"/>
      <c r="M89" s="91">
        <f t="shared" si="19"/>
        <v>0</v>
      </c>
      <c r="N89" s="84">
        <f t="shared" si="11"/>
        <v>0</v>
      </c>
      <c r="O89" s="73"/>
      <c r="P89" s="73"/>
    </row>
    <row r="90" spans="1:16">
      <c r="A90" s="83">
        <v>71</v>
      </c>
      <c r="B90" s="77">
        <f t="shared" si="12"/>
        <v>45540</v>
      </c>
      <c r="C90" s="84">
        <f t="shared" si="13"/>
        <v>0</v>
      </c>
      <c r="D90" s="84">
        <f t="shared" si="14"/>
        <v>0</v>
      </c>
      <c r="E90" s="84">
        <f t="shared" si="15"/>
        <v>0</v>
      </c>
      <c r="F90" s="84">
        <f t="shared" si="16"/>
        <v>0</v>
      </c>
      <c r="G90" s="84">
        <f t="shared" si="10"/>
        <v>0</v>
      </c>
      <c r="H90" s="84">
        <f t="shared" si="17"/>
        <v>0</v>
      </c>
      <c r="I90" s="84">
        <f t="shared" si="18"/>
        <v>0</v>
      </c>
      <c r="J90" s="84"/>
      <c r="K90" s="84"/>
      <c r="L90" s="84"/>
      <c r="M90" s="91">
        <f t="shared" si="19"/>
        <v>0</v>
      </c>
      <c r="N90" s="84">
        <f t="shared" si="11"/>
        <v>0</v>
      </c>
      <c r="O90" s="73"/>
      <c r="P90" s="73"/>
    </row>
    <row r="91" spans="1:16">
      <c r="A91" s="83">
        <v>72</v>
      </c>
      <c r="B91" s="77">
        <f t="shared" si="12"/>
        <v>45570</v>
      </c>
      <c r="C91" s="84">
        <f t="shared" si="13"/>
        <v>0</v>
      </c>
      <c r="D91" s="84">
        <f t="shared" si="14"/>
        <v>0</v>
      </c>
      <c r="E91" s="84">
        <f t="shared" si="15"/>
        <v>0</v>
      </c>
      <c r="F91" s="84">
        <f t="shared" ref="F91:F103" si="20">IF(A91&lt;=$F$7,$F$5*VLOOKUP(ROUNDUP(A91/12,0),$O$7:$Q$13,3,0)/12,0)</f>
        <v>0</v>
      </c>
      <c r="G91" s="84">
        <f t="shared" si="10"/>
        <v>0</v>
      </c>
      <c r="H91" s="84">
        <f t="shared" si="17"/>
        <v>0</v>
      </c>
      <c r="I91" s="84">
        <f t="shared" si="18"/>
        <v>0</v>
      </c>
      <c r="J91" s="84"/>
      <c r="K91" s="84"/>
      <c r="L91" s="84"/>
      <c r="M91" s="91">
        <f t="shared" si="19"/>
        <v>0</v>
      </c>
      <c r="N91" s="84">
        <f t="shared" si="11"/>
        <v>0</v>
      </c>
      <c r="O91" s="73"/>
      <c r="P91" s="73"/>
    </row>
    <row r="92" spans="1:16">
      <c r="A92" s="83">
        <v>73</v>
      </c>
      <c r="B92" s="77">
        <f t="shared" si="12"/>
        <v>45601</v>
      </c>
      <c r="C92" s="84">
        <f t="shared" si="13"/>
        <v>0</v>
      </c>
      <c r="D92" s="84">
        <f t="shared" si="14"/>
        <v>0</v>
      </c>
      <c r="E92" s="84">
        <f t="shared" si="15"/>
        <v>0</v>
      </c>
      <c r="F92" s="84">
        <f t="shared" si="20"/>
        <v>0</v>
      </c>
      <c r="G92" s="84">
        <f t="shared" si="10"/>
        <v>0</v>
      </c>
      <c r="H92" s="84">
        <f t="shared" si="17"/>
        <v>0</v>
      </c>
      <c r="I92" s="84">
        <f t="shared" si="18"/>
        <v>0</v>
      </c>
      <c r="J92" s="84"/>
      <c r="K92" s="84"/>
      <c r="L92" s="84"/>
      <c r="M92" s="91">
        <f t="shared" si="19"/>
        <v>0</v>
      </c>
      <c r="N92" s="84">
        <f t="shared" si="11"/>
        <v>0</v>
      </c>
      <c r="O92" s="73"/>
      <c r="P92" s="73"/>
    </row>
    <row r="93" spans="1:16">
      <c r="A93" s="83">
        <v>74</v>
      </c>
      <c r="B93" s="77">
        <f t="shared" si="12"/>
        <v>45631</v>
      </c>
      <c r="C93" s="84">
        <f t="shared" si="13"/>
        <v>0</v>
      </c>
      <c r="D93" s="84">
        <f t="shared" si="14"/>
        <v>0</v>
      </c>
      <c r="E93" s="84">
        <f t="shared" si="15"/>
        <v>0</v>
      </c>
      <c r="F93" s="84">
        <f t="shared" si="20"/>
        <v>0</v>
      </c>
      <c r="G93" s="84">
        <f t="shared" si="10"/>
        <v>0</v>
      </c>
      <c r="H93" s="84">
        <f t="shared" si="17"/>
        <v>0</v>
      </c>
      <c r="I93" s="84">
        <f t="shared" si="18"/>
        <v>0</v>
      </c>
      <c r="J93" s="84"/>
      <c r="K93" s="84"/>
      <c r="L93" s="84"/>
      <c r="M93" s="91">
        <f t="shared" si="19"/>
        <v>0</v>
      </c>
      <c r="N93" s="84">
        <f t="shared" si="11"/>
        <v>0</v>
      </c>
      <c r="O93" s="73"/>
      <c r="P93" s="73"/>
    </row>
    <row r="94" spans="1:16">
      <c r="A94" s="83">
        <v>75</v>
      </c>
      <c r="B94" s="77">
        <f t="shared" si="12"/>
        <v>45662</v>
      </c>
      <c r="C94" s="84">
        <f t="shared" si="13"/>
        <v>0</v>
      </c>
      <c r="D94" s="84">
        <f t="shared" si="14"/>
        <v>0</v>
      </c>
      <c r="E94" s="84">
        <f t="shared" si="15"/>
        <v>0</v>
      </c>
      <c r="F94" s="84">
        <f t="shared" si="20"/>
        <v>0</v>
      </c>
      <c r="G94" s="84">
        <f t="shared" si="10"/>
        <v>0</v>
      </c>
      <c r="H94" s="84">
        <f t="shared" si="17"/>
        <v>0</v>
      </c>
      <c r="I94" s="84">
        <f t="shared" si="18"/>
        <v>0</v>
      </c>
      <c r="J94" s="84"/>
      <c r="K94" s="84"/>
      <c r="L94" s="84"/>
      <c r="M94" s="91">
        <f t="shared" si="19"/>
        <v>0</v>
      </c>
      <c r="N94" s="84">
        <f t="shared" si="11"/>
        <v>0</v>
      </c>
      <c r="O94" s="73"/>
      <c r="P94" s="73"/>
    </row>
    <row r="95" spans="1:16">
      <c r="A95" s="83">
        <v>76</v>
      </c>
      <c r="B95" s="77">
        <f t="shared" si="12"/>
        <v>45693</v>
      </c>
      <c r="C95" s="84">
        <f t="shared" si="13"/>
        <v>0</v>
      </c>
      <c r="D95" s="84">
        <f t="shared" si="14"/>
        <v>0</v>
      </c>
      <c r="E95" s="84">
        <f t="shared" si="15"/>
        <v>0</v>
      </c>
      <c r="F95" s="84">
        <f t="shared" si="20"/>
        <v>0</v>
      </c>
      <c r="G95" s="84">
        <f t="shared" si="10"/>
        <v>0</v>
      </c>
      <c r="H95" s="84">
        <f t="shared" si="17"/>
        <v>0</v>
      </c>
      <c r="I95" s="84">
        <f t="shared" si="18"/>
        <v>0</v>
      </c>
      <c r="J95" s="84"/>
      <c r="K95" s="84"/>
      <c r="L95" s="84"/>
      <c r="M95" s="91">
        <f t="shared" si="19"/>
        <v>0</v>
      </c>
      <c r="N95" s="84">
        <f t="shared" si="11"/>
        <v>0</v>
      </c>
      <c r="O95" s="73"/>
      <c r="P95" s="73"/>
    </row>
    <row r="96" spans="1:16">
      <c r="A96" s="83">
        <v>77</v>
      </c>
      <c r="B96" s="77">
        <f t="shared" si="12"/>
        <v>45721</v>
      </c>
      <c r="C96" s="84">
        <f t="shared" si="13"/>
        <v>0</v>
      </c>
      <c r="D96" s="84">
        <f t="shared" si="14"/>
        <v>0</v>
      </c>
      <c r="E96" s="84">
        <f t="shared" si="15"/>
        <v>0</v>
      </c>
      <c r="F96" s="84">
        <f t="shared" si="20"/>
        <v>0</v>
      </c>
      <c r="G96" s="84">
        <f t="shared" ref="G96:G103" si="21">IF(A96&lt;=$F$7,$F$5*VLOOKUP(ROUNDUP(A96/12,0),$O$7:$R$13,4,0)/12,0)-F96</f>
        <v>0</v>
      </c>
      <c r="H96" s="84">
        <f t="shared" si="17"/>
        <v>0</v>
      </c>
      <c r="I96" s="84">
        <f t="shared" si="18"/>
        <v>0</v>
      </c>
      <c r="J96" s="84"/>
      <c r="K96" s="84"/>
      <c r="L96" s="84"/>
      <c r="M96" s="91">
        <f t="shared" si="19"/>
        <v>0</v>
      </c>
      <c r="N96" s="84">
        <f t="shared" si="11"/>
        <v>0</v>
      </c>
      <c r="O96" s="73"/>
      <c r="P96" s="73"/>
    </row>
    <row r="97" spans="1:16">
      <c r="A97" s="83">
        <v>78</v>
      </c>
      <c r="B97" s="77">
        <f t="shared" si="12"/>
        <v>45752</v>
      </c>
      <c r="C97" s="84">
        <f t="shared" si="13"/>
        <v>0</v>
      </c>
      <c r="D97" s="84">
        <f t="shared" si="14"/>
        <v>0</v>
      </c>
      <c r="E97" s="84">
        <f t="shared" si="15"/>
        <v>0</v>
      </c>
      <c r="F97" s="84">
        <f t="shared" si="20"/>
        <v>0</v>
      </c>
      <c r="G97" s="84">
        <f t="shared" si="21"/>
        <v>0</v>
      </c>
      <c r="H97" s="84">
        <f t="shared" si="17"/>
        <v>0</v>
      </c>
      <c r="I97" s="84">
        <f t="shared" si="18"/>
        <v>0</v>
      </c>
      <c r="J97" s="84"/>
      <c r="K97" s="84"/>
      <c r="L97" s="84"/>
      <c r="M97" s="91">
        <f t="shared" si="19"/>
        <v>0</v>
      </c>
      <c r="N97" s="84">
        <f t="shared" si="11"/>
        <v>0</v>
      </c>
      <c r="O97" s="73"/>
      <c r="P97" s="73"/>
    </row>
    <row r="98" spans="1:16">
      <c r="A98" s="83">
        <v>79</v>
      </c>
      <c r="B98" s="77">
        <f t="shared" si="12"/>
        <v>45782</v>
      </c>
      <c r="C98" s="84">
        <f t="shared" si="13"/>
        <v>0</v>
      </c>
      <c r="D98" s="84">
        <f t="shared" si="14"/>
        <v>0</v>
      </c>
      <c r="E98" s="84">
        <f t="shared" si="15"/>
        <v>0</v>
      </c>
      <c r="F98" s="84">
        <f t="shared" si="20"/>
        <v>0</v>
      </c>
      <c r="G98" s="84">
        <f t="shared" si="21"/>
        <v>0</v>
      </c>
      <c r="H98" s="84">
        <f t="shared" si="17"/>
        <v>0</v>
      </c>
      <c r="I98" s="84">
        <f t="shared" si="18"/>
        <v>0</v>
      </c>
      <c r="J98" s="84"/>
      <c r="K98" s="84"/>
      <c r="L98" s="84"/>
      <c r="M98" s="91">
        <f t="shared" si="19"/>
        <v>0</v>
      </c>
      <c r="N98" s="84">
        <f t="shared" si="11"/>
        <v>0</v>
      </c>
      <c r="O98" s="73"/>
      <c r="P98" s="73"/>
    </row>
    <row r="99" spans="1:16">
      <c r="A99" s="83">
        <v>80</v>
      </c>
      <c r="B99" s="77">
        <f t="shared" si="12"/>
        <v>45813</v>
      </c>
      <c r="C99" s="84">
        <f t="shared" si="13"/>
        <v>0</v>
      </c>
      <c r="D99" s="84">
        <f t="shared" si="14"/>
        <v>0</v>
      </c>
      <c r="E99" s="84">
        <f t="shared" si="15"/>
        <v>0</v>
      </c>
      <c r="F99" s="84">
        <f t="shared" si="20"/>
        <v>0</v>
      </c>
      <c r="G99" s="84">
        <f t="shared" si="21"/>
        <v>0</v>
      </c>
      <c r="H99" s="84">
        <f t="shared" si="17"/>
        <v>0</v>
      </c>
      <c r="I99" s="84">
        <f t="shared" si="18"/>
        <v>0</v>
      </c>
      <c r="J99" s="84"/>
      <c r="K99" s="84"/>
      <c r="L99" s="84"/>
      <c r="M99" s="91">
        <f t="shared" si="19"/>
        <v>0</v>
      </c>
      <c r="N99" s="84">
        <f t="shared" si="11"/>
        <v>0</v>
      </c>
      <c r="O99" s="73"/>
      <c r="P99" s="73"/>
    </row>
    <row r="100" spans="1:16">
      <c r="A100" s="83">
        <v>81</v>
      </c>
      <c r="B100" s="77">
        <f t="shared" si="12"/>
        <v>45843</v>
      </c>
      <c r="C100" s="84">
        <f t="shared" si="13"/>
        <v>0</v>
      </c>
      <c r="D100" s="84">
        <f t="shared" si="14"/>
        <v>0</v>
      </c>
      <c r="E100" s="84">
        <f>D100*0.2</f>
        <v>0</v>
      </c>
      <c r="F100" s="84">
        <f t="shared" si="20"/>
        <v>0</v>
      </c>
      <c r="G100" s="84">
        <f t="shared" si="21"/>
        <v>0</v>
      </c>
      <c r="H100" s="84">
        <f t="shared" si="17"/>
        <v>0</v>
      </c>
      <c r="I100" s="84">
        <f t="shared" si="18"/>
        <v>0</v>
      </c>
      <c r="J100" s="84"/>
      <c r="K100" s="84"/>
      <c r="L100" s="84"/>
      <c r="M100" s="91">
        <f t="shared" si="19"/>
        <v>0</v>
      </c>
      <c r="N100" s="84">
        <f t="shared" si="11"/>
        <v>0</v>
      </c>
      <c r="O100" s="73"/>
      <c r="P100" s="73"/>
    </row>
    <row r="101" spans="1:16">
      <c r="A101" s="83">
        <v>82</v>
      </c>
      <c r="B101" s="77">
        <f t="shared" si="12"/>
        <v>45874</v>
      </c>
      <c r="C101" s="84">
        <f t="shared" si="13"/>
        <v>0</v>
      </c>
      <c r="D101" s="84">
        <f t="shared" si="14"/>
        <v>0</v>
      </c>
      <c r="E101" s="84">
        <f>D101*0.2</f>
        <v>0</v>
      </c>
      <c r="F101" s="84">
        <f t="shared" si="20"/>
        <v>0</v>
      </c>
      <c r="G101" s="84">
        <f t="shared" si="21"/>
        <v>0</v>
      </c>
      <c r="H101" s="84">
        <f t="shared" si="17"/>
        <v>0</v>
      </c>
      <c r="I101" s="84">
        <f t="shared" si="18"/>
        <v>0</v>
      </c>
      <c r="J101" s="84"/>
      <c r="K101" s="84"/>
      <c r="L101" s="84"/>
      <c r="M101" s="91">
        <f t="shared" si="19"/>
        <v>0</v>
      </c>
      <c r="N101" s="84">
        <f t="shared" si="11"/>
        <v>0</v>
      </c>
      <c r="O101" s="73"/>
      <c r="P101" s="73"/>
    </row>
    <row r="102" spans="1:16">
      <c r="A102" s="83">
        <v>83</v>
      </c>
      <c r="B102" s="77">
        <f t="shared" si="12"/>
        <v>45905</v>
      </c>
      <c r="C102" s="84">
        <f t="shared" si="13"/>
        <v>0</v>
      </c>
      <c r="D102" s="84">
        <f t="shared" si="14"/>
        <v>0</v>
      </c>
      <c r="E102" s="84">
        <f>D102*0.2</f>
        <v>0</v>
      </c>
      <c r="F102" s="84">
        <f t="shared" si="20"/>
        <v>0</v>
      </c>
      <c r="G102" s="84">
        <f t="shared" si="21"/>
        <v>0</v>
      </c>
      <c r="H102" s="84">
        <f t="shared" si="17"/>
        <v>0</v>
      </c>
      <c r="I102" s="84">
        <f t="shared" si="18"/>
        <v>0</v>
      </c>
      <c r="J102" s="84"/>
      <c r="K102" s="84"/>
      <c r="L102" s="84"/>
      <c r="M102" s="91">
        <f t="shared" si="19"/>
        <v>0</v>
      </c>
      <c r="N102" s="84">
        <f t="shared" si="11"/>
        <v>0</v>
      </c>
      <c r="O102" s="73"/>
      <c r="P102" s="73"/>
    </row>
    <row r="103" spans="1:16">
      <c r="A103" s="92">
        <v>84</v>
      </c>
      <c r="B103" s="93">
        <f t="shared" si="12"/>
        <v>45935</v>
      </c>
      <c r="C103" s="94">
        <f t="shared" si="13"/>
        <v>0</v>
      </c>
      <c r="D103" s="94">
        <f t="shared" si="14"/>
        <v>0</v>
      </c>
      <c r="E103" s="94">
        <f>D103*0.2</f>
        <v>0</v>
      </c>
      <c r="F103" s="94">
        <f t="shared" si="20"/>
        <v>0</v>
      </c>
      <c r="G103" s="94">
        <f t="shared" si="21"/>
        <v>0</v>
      </c>
      <c r="H103" s="94">
        <f t="shared" si="17"/>
        <v>0</v>
      </c>
      <c r="I103" s="84">
        <f t="shared" si="18"/>
        <v>0</v>
      </c>
      <c r="J103" s="94"/>
      <c r="K103" s="94"/>
      <c r="L103" s="94"/>
      <c r="M103" s="95">
        <f t="shared" si="19"/>
        <v>0</v>
      </c>
      <c r="N103" s="94">
        <f t="shared" si="11"/>
        <v>0</v>
      </c>
    </row>
    <row r="105" spans="1:16">
      <c r="B105" s="96"/>
    </row>
    <row r="106" spans="1:16">
      <c r="B106" s="94"/>
    </row>
  </sheetData>
  <sheetProtection formatRows="0" insertColumns="0" selectLockedCells="1" selectUnlockedCells="1"/>
  <conditionalFormatting sqref="F15">
    <cfRule type="cellIs" dxfId="115" priority="1" operator="lessThan">
      <formula>0.1</formula>
    </cfRule>
    <cfRule type="cellIs" dxfId="114" priority="2" operator="greaterThan">
      <formula>0.18</formula>
    </cfRule>
  </conditionalFormatting>
  <conditionalFormatting sqref="B17">
    <cfRule type="cellIs" dxfId="113" priority="3" operator="lessThan">
      <formula>0</formula>
    </cfRule>
    <cfRule type="cellIs" dxfId="112" priority="4" operator="greaterThan">
      <formula>0</formula>
    </cfRule>
    <cfRule type="cellIs" dxfId="111" priority="5" operator="equal">
      <formula>0</formula>
    </cfRule>
  </conditionalFormatting>
  <conditionalFormatting sqref="C17">
    <cfRule type="cellIs" dxfId="110" priority="9" operator="lessThan">
      <formula>0</formula>
    </cfRule>
    <cfRule type="cellIs" dxfId="109" priority="11" operator="equal">
      <formula>0</formula>
    </cfRule>
    <cfRule type="cellIs" dxfId="108" priority="10" operator="greaterThan">
      <formula>0</formula>
    </cfRule>
  </conditionalFormatting>
  <conditionalFormatting sqref="I17">
    <cfRule type="cellIs" dxfId="107" priority="7" operator="greaterThan">
      <formula>0</formula>
    </cfRule>
    <cfRule type="cellIs" dxfId="106" priority="8" operator="equal">
      <formula>0</formula>
    </cfRule>
    <cfRule type="cellIs" dxfId="105" priority="6" operator="lessThan">
      <formula>0</formula>
    </cfRule>
  </conditionalFormatting>
  <dataValidations count="2">
    <dataValidation type="list" allowBlank="1" showInputMessage="1" showErrorMessage="1" sqref="F9" xr:uid="{00000000-0002-0000-0200-000000000000}">
      <formula1>$I$6:$I$7</formula1>
    </dataValidation>
    <dataValidation type="list" allowBlank="1" showInputMessage="1" showErrorMessage="1" sqref="F11" xr:uid="{00000000-0002-0000-0200-000001000000}">
      <formula1>$I$9:$I$10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6"/>
  <sheetViews>
    <sheetView workbookViewId="0">
      <selection activeCell="F5" sqref="F5"/>
    </sheetView>
  </sheetViews>
  <sheetFormatPr defaultColWidth="9.140625" defaultRowHeight="15"/>
  <cols>
    <col min="1" max="12" width="9.140625" style="71"/>
    <col min="13" max="13" width="10.140625" style="71" customWidth="1"/>
    <col min="14" max="19" width="9.140625" style="71"/>
    <col min="20" max="20" width="24.42578125" style="71" customWidth="1"/>
    <col min="21" max="16384" width="9.140625" style="71"/>
  </cols>
  <sheetData>
    <row r="1" spans="1:19" ht="18.75">
      <c r="A1" s="72" t="s">
        <v>65</v>
      </c>
      <c r="B1" s="73"/>
      <c r="C1" s="73"/>
      <c r="D1" s="73"/>
      <c r="E1" s="73"/>
      <c r="F1" s="74"/>
      <c r="G1" s="73"/>
      <c r="H1" s="73"/>
      <c r="I1" s="73"/>
      <c r="J1" s="73"/>
      <c r="K1" s="73"/>
      <c r="L1" s="73"/>
      <c r="M1" s="73"/>
      <c r="N1" s="73"/>
      <c r="O1" s="73"/>
      <c r="P1" s="73"/>
      <c r="R1" s="71" t="s">
        <v>115</v>
      </c>
    </row>
    <row r="2" spans="1:19" ht="18.75">
      <c r="A2" s="72" t="s">
        <v>66</v>
      </c>
      <c r="B2" s="73"/>
      <c r="C2" s="73"/>
      <c r="D2" s="73"/>
      <c r="E2" s="73"/>
      <c r="F2" s="75" t="s">
        <v>67</v>
      </c>
      <c r="G2" s="73"/>
      <c r="H2" s="73"/>
      <c r="I2" s="73"/>
      <c r="J2" s="73"/>
      <c r="K2" s="73"/>
      <c r="L2" s="73"/>
      <c r="M2" s="73"/>
      <c r="N2" s="73"/>
      <c r="O2" s="73"/>
      <c r="P2" s="73"/>
      <c r="R2" s="71" t="s">
        <v>116</v>
      </c>
    </row>
    <row r="3" spans="1:19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9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19">
      <c r="A5" s="73" t="s">
        <v>68</v>
      </c>
      <c r="B5" s="73"/>
      <c r="C5" s="73"/>
      <c r="D5" s="73"/>
      <c r="E5" s="73"/>
      <c r="F5" s="74">
        <f>'Калькулятор 12-48 мес'!K11</f>
        <v>1000</v>
      </c>
      <c r="G5" s="73"/>
      <c r="H5" s="73"/>
      <c r="I5" s="73"/>
      <c r="J5" s="73"/>
      <c r="K5" s="73" t="s">
        <v>69</v>
      </c>
      <c r="L5" s="73"/>
      <c r="M5" s="73"/>
      <c r="N5" s="73"/>
      <c r="O5" s="73"/>
      <c r="P5" s="73"/>
    </row>
    <row r="6" spans="1:19">
      <c r="A6" s="73" t="s">
        <v>70</v>
      </c>
      <c r="B6" s="73"/>
      <c r="C6" s="73"/>
      <c r="D6" s="73"/>
      <c r="E6" s="73"/>
      <c r="F6" s="97">
        <f>'Калькулятор 12-48 мес'!K14</f>
        <v>0</v>
      </c>
      <c r="G6" s="74">
        <f>F5*F6</f>
        <v>0</v>
      </c>
      <c r="H6" s="73"/>
      <c r="I6" s="73" t="s">
        <v>71</v>
      </c>
      <c r="J6" s="73"/>
      <c r="K6" s="77">
        <v>44927</v>
      </c>
      <c r="L6" s="73"/>
      <c r="M6" s="73"/>
      <c r="N6" s="73"/>
      <c r="O6" s="73" t="s">
        <v>72</v>
      </c>
      <c r="P6" s="73"/>
      <c r="Q6" s="73" t="s">
        <v>73</v>
      </c>
      <c r="R6" s="73" t="s">
        <v>74</v>
      </c>
    </row>
    <row r="7" spans="1:19">
      <c r="A7" s="73" t="s">
        <v>75</v>
      </c>
      <c r="B7" s="73"/>
      <c r="C7" s="73"/>
      <c r="D7" s="73"/>
      <c r="E7" s="73"/>
      <c r="F7" s="74">
        <v>12</v>
      </c>
      <c r="G7" s="73"/>
      <c r="H7" s="73"/>
      <c r="I7" s="73" t="s">
        <v>76</v>
      </c>
      <c r="J7" s="73"/>
      <c r="K7" s="73"/>
      <c r="L7" s="73"/>
      <c r="M7" s="73"/>
      <c r="N7" s="73"/>
      <c r="O7" s="73">
        <v>1</v>
      </c>
      <c r="P7" s="73" t="s">
        <v>77</v>
      </c>
      <c r="Q7" s="78">
        <v>2.0199999999999999E-2</v>
      </c>
      <c r="R7" s="78">
        <f>2.02%*1.22</f>
        <v>2.4643999999999999E-2</v>
      </c>
    </row>
    <row r="8" spans="1:19">
      <c r="A8" s="73" t="s">
        <v>78</v>
      </c>
      <c r="B8" s="73"/>
      <c r="C8" s="73"/>
      <c r="D8" s="73"/>
      <c r="E8" s="73"/>
      <c r="F8" s="76">
        <v>0</v>
      </c>
      <c r="G8" s="73"/>
      <c r="H8" s="73"/>
      <c r="I8" s="73"/>
      <c r="J8" s="73"/>
      <c r="K8" s="73"/>
      <c r="L8" s="73" t="s">
        <v>79</v>
      </c>
      <c r="M8" s="73" t="s">
        <v>80</v>
      </c>
      <c r="N8" s="73"/>
      <c r="O8" s="73">
        <v>2</v>
      </c>
      <c r="P8" s="73" t="s">
        <v>81</v>
      </c>
      <c r="Q8" s="79">
        <f>2.07%*0.8</f>
        <v>1.6560000000000002E-2</v>
      </c>
      <c r="R8" s="79">
        <f>2.07%*0.8*1.22</f>
        <v>2.0203200000000001E-2</v>
      </c>
    </row>
    <row r="9" spans="1:19">
      <c r="A9" s="73" t="s">
        <v>82</v>
      </c>
      <c r="B9" s="73"/>
      <c r="C9" s="73"/>
      <c r="D9" s="73"/>
      <c r="E9" s="73"/>
      <c r="F9" s="74" t="s">
        <v>71</v>
      </c>
      <c r="G9" s="73"/>
      <c r="H9" s="73"/>
      <c r="I9" s="73" t="s">
        <v>83</v>
      </c>
      <c r="J9" s="73"/>
      <c r="K9" s="73" t="s">
        <v>84</v>
      </c>
      <c r="L9" s="76"/>
      <c r="M9" s="74">
        <v>12</v>
      </c>
      <c r="N9" s="73"/>
      <c r="O9" s="73">
        <v>3</v>
      </c>
      <c r="P9" s="73" t="s">
        <v>85</v>
      </c>
      <c r="Q9" s="79">
        <f>2.33%*0.7</f>
        <v>1.6310000000000002E-2</v>
      </c>
      <c r="R9" s="79">
        <f>2.33%*0.7*1.22</f>
        <v>1.9898200000000001E-2</v>
      </c>
    </row>
    <row r="10" spans="1:19">
      <c r="A10" s="73" t="s">
        <v>86</v>
      </c>
      <c r="B10" s="73"/>
      <c r="C10" s="73"/>
      <c r="D10" s="73"/>
      <c r="E10" s="73"/>
      <c r="F10" s="80">
        <v>2</v>
      </c>
      <c r="G10" s="73"/>
      <c r="H10" s="73"/>
      <c r="I10" s="73" t="s">
        <v>87</v>
      </c>
      <c r="J10" s="73"/>
      <c r="K10" s="73" t="s">
        <v>88</v>
      </c>
      <c r="L10" s="76">
        <v>0</v>
      </c>
      <c r="M10" s="74">
        <v>0</v>
      </c>
      <c r="N10" s="73"/>
      <c r="O10" s="73">
        <v>4</v>
      </c>
      <c r="P10" s="73" t="s">
        <v>89</v>
      </c>
      <c r="Q10" s="79">
        <f>2.76%*0.6</f>
        <v>1.6559999999999998E-2</v>
      </c>
      <c r="R10" s="79">
        <f>2.76%*0.6*1.22</f>
        <v>2.0203199999999998E-2</v>
      </c>
    </row>
    <row r="11" spans="1:19">
      <c r="A11" s="73" t="s">
        <v>90</v>
      </c>
      <c r="B11" s="73"/>
      <c r="C11" s="73"/>
      <c r="D11" s="73"/>
      <c r="E11" s="73"/>
      <c r="F11" s="74" t="s">
        <v>87</v>
      </c>
      <c r="G11" s="73"/>
      <c r="H11" s="73"/>
      <c r="I11" s="73"/>
      <c r="J11" s="73"/>
      <c r="K11" s="73"/>
      <c r="L11" s="73"/>
      <c r="M11" s="73"/>
      <c r="N11" s="73"/>
      <c r="O11" s="73">
        <v>5</v>
      </c>
      <c r="P11" s="73" t="s">
        <v>91</v>
      </c>
      <c r="Q11" s="79">
        <f>3.03%*0.5</f>
        <v>1.5149999999999999E-2</v>
      </c>
      <c r="R11" s="79">
        <f>3.03%*0.5*1.22</f>
        <v>1.8482999999999999E-2</v>
      </c>
    </row>
    <row r="12" spans="1:19">
      <c r="A12" s="73" t="s">
        <v>92</v>
      </c>
      <c r="B12" s="73"/>
      <c r="C12" s="73"/>
      <c r="D12" s="73"/>
      <c r="E12" s="73"/>
      <c r="F12" s="76">
        <v>0</v>
      </c>
      <c r="G12" s="76"/>
      <c r="H12" s="73"/>
      <c r="I12" s="73" t="s">
        <v>93</v>
      </c>
      <c r="J12" s="73"/>
      <c r="K12" s="73" t="s">
        <v>94</v>
      </c>
      <c r="L12" s="73"/>
      <c r="M12" s="73"/>
      <c r="N12" s="73"/>
      <c r="O12" s="73">
        <v>6</v>
      </c>
      <c r="P12" s="73" t="s">
        <v>95</v>
      </c>
      <c r="Q12" s="78">
        <f>Q11</f>
        <v>1.5149999999999999E-2</v>
      </c>
      <c r="R12" s="78">
        <f>R11</f>
        <v>1.8482999999999999E-2</v>
      </c>
    </row>
    <row r="13" spans="1:19">
      <c r="A13" s="73" t="s">
        <v>96</v>
      </c>
      <c r="B13" s="73"/>
      <c r="C13" s="73"/>
      <c r="D13" s="73"/>
      <c r="E13" s="73"/>
      <c r="F13" s="76">
        <v>0.49</v>
      </c>
      <c r="G13" s="76"/>
      <c r="H13" s="73"/>
      <c r="I13" s="73" t="s">
        <v>2</v>
      </c>
      <c r="J13" s="73"/>
      <c r="K13" s="76">
        <v>0</v>
      </c>
      <c r="L13" s="73"/>
      <c r="M13" s="73"/>
      <c r="N13" s="73"/>
      <c r="O13" s="73">
        <v>7</v>
      </c>
      <c r="P13" s="73" t="s">
        <v>97</v>
      </c>
      <c r="Q13" s="78">
        <f>Q12</f>
        <v>1.5149999999999999E-2</v>
      </c>
      <c r="R13" s="78">
        <f>R12</f>
        <v>1.8482999999999999E-2</v>
      </c>
    </row>
    <row r="14" spans="1:19">
      <c r="A14" s="73" t="s">
        <v>98</v>
      </c>
      <c r="B14" s="73"/>
      <c r="C14" s="73"/>
      <c r="D14" s="73"/>
      <c r="E14" s="73"/>
      <c r="F14" s="76">
        <v>0</v>
      </c>
      <c r="G14" s="76"/>
      <c r="H14" s="73"/>
      <c r="I14" s="73"/>
      <c r="J14" s="73"/>
      <c r="K14" s="73"/>
      <c r="L14" s="73"/>
      <c r="M14" s="73"/>
      <c r="N14" s="73"/>
      <c r="O14" s="73"/>
      <c r="P14" s="73"/>
    </row>
    <row r="15" spans="1:19">
      <c r="A15" s="73" t="s">
        <v>99</v>
      </c>
      <c r="B15" s="73"/>
      <c r="C15" s="73"/>
      <c r="D15" s="73"/>
      <c r="E15" s="73"/>
      <c r="F15" s="76">
        <f>XIRR(M19:M103,B19:B103)</f>
        <v>0.61332386136054984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</row>
    <row r="16" spans="1:19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81"/>
      <c r="P16" s="82"/>
      <c r="R16" s="71" t="str">
        <f>'Калькулятор 12-48 мес'!K12</f>
        <v>ФЛ</v>
      </c>
      <c r="S16" s="71" t="s">
        <v>100</v>
      </c>
    </row>
    <row r="17" spans="1:20">
      <c r="A17" s="83">
        <f>LARGE(A19:A1048576,1)</f>
        <v>84</v>
      </c>
      <c r="B17" s="83">
        <f>IF(A17&lt;F7,"протяните формулы",0)</f>
        <v>0</v>
      </c>
      <c r="C17" s="83">
        <f>SUM(C19:C103)</f>
        <v>0</v>
      </c>
      <c r="D17" s="83">
        <f t="shared" ref="D17:M17" si="0">SUM(D19:D103)</f>
        <v>284.81613107876382</v>
      </c>
      <c r="E17" s="83">
        <f t="shared" si="0"/>
        <v>0</v>
      </c>
      <c r="F17" s="83">
        <f t="shared" si="0"/>
        <v>0</v>
      </c>
      <c r="G17" s="83">
        <f t="shared" si="0"/>
        <v>0</v>
      </c>
      <c r="H17" s="83">
        <f t="shared" si="0"/>
        <v>284.81613107876359</v>
      </c>
      <c r="I17" s="84"/>
      <c r="J17" s="83">
        <f t="shared" si="0"/>
        <v>0</v>
      </c>
      <c r="K17" s="83">
        <f t="shared" si="0"/>
        <v>0</v>
      </c>
      <c r="L17" s="83">
        <f t="shared" si="0"/>
        <v>0</v>
      </c>
      <c r="M17" s="83">
        <f t="shared" si="0"/>
        <v>284.81613107876359</v>
      </c>
      <c r="N17" s="73"/>
      <c r="O17" s="81"/>
      <c r="P17" s="82"/>
    </row>
    <row r="18" spans="1:20" ht="76.5">
      <c r="A18" s="85" t="s">
        <v>101</v>
      </c>
      <c r="B18" s="85" t="s">
        <v>102</v>
      </c>
      <c r="C18" s="85" t="s">
        <v>103</v>
      </c>
      <c r="D18" s="85" t="s">
        <v>104</v>
      </c>
      <c r="E18" s="85" t="s">
        <v>105</v>
      </c>
      <c r="F18" s="85" t="s">
        <v>106</v>
      </c>
      <c r="G18" s="85" t="s">
        <v>107</v>
      </c>
      <c r="H18" s="85" t="s">
        <v>108</v>
      </c>
      <c r="I18" s="85" t="s">
        <v>109</v>
      </c>
      <c r="J18" s="85" t="s">
        <v>84</v>
      </c>
      <c r="K18" s="85" t="s">
        <v>110</v>
      </c>
      <c r="L18" s="85" t="s">
        <v>111</v>
      </c>
      <c r="M18" s="85" t="s">
        <v>112</v>
      </c>
      <c r="N18" s="85" t="s">
        <v>113</v>
      </c>
      <c r="O18" s="86"/>
      <c r="P18" s="87"/>
      <c r="Q18" s="88"/>
      <c r="R18" s="88"/>
      <c r="S18" s="88"/>
      <c r="T18" s="71" t="s">
        <v>117</v>
      </c>
    </row>
    <row r="19" spans="1:20">
      <c r="A19" s="89">
        <v>0</v>
      </c>
      <c r="B19" s="77">
        <v>45474</v>
      </c>
      <c r="C19" s="83">
        <f>IF(F6&gt;=40%,-(F5*60%),-(F5*(1-F6)))</f>
        <v>-1000</v>
      </c>
      <c r="D19" s="84"/>
      <c r="E19" s="84"/>
      <c r="F19" s="73"/>
      <c r="G19" s="73"/>
      <c r="H19" s="83">
        <f>SUM(C19:G19)</f>
        <v>-1000</v>
      </c>
      <c r="I19" s="84">
        <f>C19*20/120</f>
        <v>-166.66666666666666</v>
      </c>
      <c r="J19" s="83">
        <f>-F5*L9</f>
        <v>0</v>
      </c>
      <c r="K19" s="83">
        <f>-F5*L10</f>
        <v>0</v>
      </c>
      <c r="L19" s="73">
        <f>F5*F8</f>
        <v>0</v>
      </c>
      <c r="M19" s="91">
        <f>SUM(C19,D19,G19,J19,K19,L19)</f>
        <v>-1000</v>
      </c>
      <c r="N19" s="84">
        <f>-C19</f>
        <v>1000</v>
      </c>
      <c r="O19" s="81"/>
      <c r="P19" s="82"/>
    </row>
    <row r="20" spans="1:20">
      <c r="A20" s="83">
        <f>A19+1</f>
        <v>1</v>
      </c>
      <c r="B20" s="77">
        <f>EOMONTH(B19,0)+DAY(B19)</f>
        <v>45505</v>
      </c>
      <c r="C20" s="83">
        <f t="shared" ref="C20:C30" si="1">T20-D20-E20</f>
        <v>66.23467758989699</v>
      </c>
      <c r="D20" s="84">
        <f>IF(A20&lt;=$F$7,IF($F$11=$I$9,$F$5*$F$12,N19*$F$13/12),0)+-IF(AND(A20&lt;=$M$9,$M$9&lt;&gt;0),$J$19/$M$9,0)+-IF(AND(A20&lt;=$M$10,$M$10&lt;&gt;0),$K$19/$M$10,0)</f>
        <v>40.833333333333336</v>
      </c>
      <c r="E20" s="84">
        <f>IF($R$16="ЮЛ",D20*0.2,0)</f>
        <v>0</v>
      </c>
      <c r="F20" s="84">
        <f>IF(AND(A20&lt;=$F$7,$S$16="ДА"),($F$5*VLOOKUP(ROUNDUP(A20/12,0),$O$7:$Q$13,3,0)/12),0)</f>
        <v>0</v>
      </c>
      <c r="G20" s="84">
        <v>0</v>
      </c>
      <c r="H20" s="84">
        <f>SUM(C20:G20)+SUM(C20:G20)*$F$14</f>
        <v>107.06801092323033</v>
      </c>
      <c r="I20" s="84">
        <f t="shared" ref="I20:I83" si="2">C20*20/120</f>
        <v>11.039112931649498</v>
      </c>
      <c r="J20" s="83"/>
      <c r="K20" s="83"/>
      <c r="L20" s="73"/>
      <c r="M20" s="91">
        <f t="shared" ref="M20:M83" si="3">SUM(C20,D20,G20,J20,K20,L20)</f>
        <v>107.06801092323033</v>
      </c>
      <c r="N20" s="84">
        <f>N19-C20</f>
        <v>933.76532241010295</v>
      </c>
      <c r="O20" s="81"/>
      <c r="P20" s="82"/>
      <c r="T20" s="98">
        <f>IF($R$16=$R$1,PMT($F$13/12,$F$7,-($F$5-$G$6),$F$5*$K$13,0)+$F$5*$L$9/$M$9,PMT($F$13/12*1.2,$F$7,-($F$5-$G$6),$F$5*$K$13,0)+$F$5*$L$9/$M$9)</f>
        <v>107.06801092323033</v>
      </c>
    </row>
    <row r="21" spans="1:20">
      <c r="A21" s="83">
        <v>2</v>
      </c>
      <c r="B21" s="77">
        <f t="shared" ref="B21:B84" si="4">EOMONTH(B20,0)+DAY(B20)</f>
        <v>45536</v>
      </c>
      <c r="C21" s="83">
        <f t="shared" si="1"/>
        <v>68.939260258151137</v>
      </c>
      <c r="D21" s="84">
        <f t="shared" ref="D21:D84" si="5">IF(A21&lt;=$F$7,IF($F$11=$I$9,$F$5*$F$12,N20*$F$13/12),0)+-IF(AND(A21&lt;=$M$9,$M$9&lt;&gt;0),$J$19/$M$9,0)+-IF(AND(A21&lt;=$M$10,$M$10&lt;&gt;0),$K$19/$M$10,0)</f>
        <v>38.128750665079203</v>
      </c>
      <c r="E21" s="84">
        <f t="shared" ref="E21:E84" si="6">IF($R$16="ЮЛ",D21*0.2,0)</f>
        <v>0</v>
      </c>
      <c r="F21" s="84">
        <f t="shared" ref="F21:F84" si="7">IF(AND(A21&lt;=$F$7,$S$16="ДА"),($F$5*VLOOKUP(ROUNDUP(A21/12,0),$O$7:$Q$13,3,0)/12),0)</f>
        <v>0</v>
      </c>
      <c r="G21" s="84">
        <v>0</v>
      </c>
      <c r="H21" s="84">
        <f t="shared" ref="H21:H84" si="8">SUM(C21:G21)+SUM(C21:G21)*$F$14</f>
        <v>107.06801092323033</v>
      </c>
      <c r="I21" s="84">
        <f t="shared" si="2"/>
        <v>11.489876709691856</v>
      </c>
      <c r="J21" s="83"/>
      <c r="K21" s="83"/>
      <c r="L21" s="73"/>
      <c r="M21" s="91">
        <f t="shared" si="3"/>
        <v>107.06801092323033</v>
      </c>
      <c r="N21" s="84">
        <f t="shared" ref="N21:N84" si="9">N20-C21</f>
        <v>864.82606215195187</v>
      </c>
      <c r="O21" s="81"/>
      <c r="P21" s="81"/>
      <c r="T21" s="98">
        <f t="shared" ref="T21:T31" si="10">IF($R$16=$R$1,PMT($F$13/12,$F$7,-($F$5-$G$6),$F$5*$K$13,0)+$F$5*$L$9/$M$9,PMT($F$13/12*1.2,$F$7,-($F$5-$G$6),$F$5*$K$13,0)+$F$5*$L$9/$M$9)</f>
        <v>107.06801092323033</v>
      </c>
    </row>
    <row r="22" spans="1:20">
      <c r="A22" s="83">
        <v>3</v>
      </c>
      <c r="B22" s="77">
        <f t="shared" si="4"/>
        <v>45566</v>
      </c>
      <c r="C22" s="83">
        <f t="shared" si="1"/>
        <v>71.754280052025621</v>
      </c>
      <c r="D22" s="84">
        <f>IF(A22&lt;=$F$7,IF($F$11=$I$9,$F$5*$F$12,N21*$F$13/12),0)+-IF(AND(A22&lt;=$M$9,$M$9&lt;&gt;0),$J$19/$M$9,0)+-IF(AND(A22&lt;=$M$10,$M$10&lt;&gt;0),$K$19/$M$10,0)</f>
        <v>35.313730871204704</v>
      </c>
      <c r="E22" s="84">
        <f t="shared" si="6"/>
        <v>0</v>
      </c>
      <c r="F22" s="84">
        <f t="shared" si="7"/>
        <v>0</v>
      </c>
      <c r="G22" s="84">
        <v>0</v>
      </c>
      <c r="H22" s="84">
        <f t="shared" si="8"/>
        <v>107.06801092323033</v>
      </c>
      <c r="I22" s="84">
        <f t="shared" si="2"/>
        <v>11.959046675337602</v>
      </c>
      <c r="J22" s="83"/>
      <c r="K22" s="83"/>
      <c r="L22" s="73"/>
      <c r="M22" s="91">
        <f t="shared" si="3"/>
        <v>107.06801092323033</v>
      </c>
      <c r="N22" s="84">
        <f t="shared" si="9"/>
        <v>793.07178209992628</v>
      </c>
      <c r="O22" s="81"/>
      <c r="P22" s="82"/>
      <c r="T22" s="98">
        <f t="shared" si="10"/>
        <v>107.06801092323033</v>
      </c>
    </row>
    <row r="23" spans="1:20">
      <c r="A23" s="83">
        <v>4</v>
      </c>
      <c r="B23" s="77">
        <f t="shared" si="4"/>
        <v>45597</v>
      </c>
      <c r="C23" s="83">
        <f t="shared" si="1"/>
        <v>74.684246487483335</v>
      </c>
      <c r="D23" s="84">
        <f t="shared" si="5"/>
        <v>32.38376443574699</v>
      </c>
      <c r="E23" s="84">
        <f t="shared" si="6"/>
        <v>0</v>
      </c>
      <c r="F23" s="84">
        <f t="shared" si="7"/>
        <v>0</v>
      </c>
      <c r="G23" s="84">
        <v>0</v>
      </c>
      <c r="H23" s="84">
        <f t="shared" si="8"/>
        <v>107.06801092323033</v>
      </c>
      <c r="I23" s="84">
        <f t="shared" si="2"/>
        <v>12.447374414580556</v>
      </c>
      <c r="J23" s="83"/>
      <c r="K23" s="83"/>
      <c r="L23" s="73"/>
      <c r="M23" s="91">
        <f t="shared" si="3"/>
        <v>107.06801092323033</v>
      </c>
      <c r="N23" s="84">
        <f t="shared" si="9"/>
        <v>718.38753561244289</v>
      </c>
      <c r="O23" s="81"/>
      <c r="P23" s="81"/>
      <c r="T23" s="98">
        <f t="shared" si="10"/>
        <v>107.06801092323033</v>
      </c>
    </row>
    <row r="24" spans="1:20">
      <c r="A24" s="83">
        <v>5</v>
      </c>
      <c r="B24" s="77">
        <f t="shared" si="4"/>
        <v>45627</v>
      </c>
      <c r="C24" s="83">
        <f t="shared" si="1"/>
        <v>77.733853219055575</v>
      </c>
      <c r="D24" s="84">
        <f t="shared" si="5"/>
        <v>29.334157704174753</v>
      </c>
      <c r="E24" s="84">
        <f t="shared" si="6"/>
        <v>0</v>
      </c>
      <c r="F24" s="84">
        <f t="shared" si="7"/>
        <v>0</v>
      </c>
      <c r="G24" s="84">
        <v>0</v>
      </c>
      <c r="H24" s="84">
        <f t="shared" si="8"/>
        <v>107.06801092323033</v>
      </c>
      <c r="I24" s="84">
        <f t="shared" si="2"/>
        <v>12.955642203175929</v>
      </c>
      <c r="J24" s="83"/>
      <c r="K24" s="83"/>
      <c r="L24" s="73"/>
      <c r="M24" s="91">
        <f t="shared" si="3"/>
        <v>107.06801092323033</v>
      </c>
      <c r="N24" s="84">
        <f t="shared" si="9"/>
        <v>640.65368239338727</v>
      </c>
      <c r="O24" s="73"/>
      <c r="P24" s="73"/>
      <c r="T24" s="98">
        <f t="shared" si="10"/>
        <v>107.06801092323033</v>
      </c>
    </row>
    <row r="25" spans="1:20">
      <c r="A25" s="83">
        <v>6</v>
      </c>
      <c r="B25" s="77">
        <f t="shared" si="4"/>
        <v>45658</v>
      </c>
      <c r="C25" s="83">
        <f t="shared" si="1"/>
        <v>80.907985558833687</v>
      </c>
      <c r="D25" s="84">
        <f t="shared" si="5"/>
        <v>26.160025364396645</v>
      </c>
      <c r="E25" s="84">
        <f t="shared" si="6"/>
        <v>0</v>
      </c>
      <c r="F25" s="84">
        <f t="shared" si="7"/>
        <v>0</v>
      </c>
      <c r="G25" s="84">
        <v>0</v>
      </c>
      <c r="H25" s="84">
        <f t="shared" si="8"/>
        <v>107.06801092323033</v>
      </c>
      <c r="I25" s="84">
        <f t="shared" si="2"/>
        <v>13.484664259805614</v>
      </c>
      <c r="J25" s="83"/>
      <c r="K25" s="83"/>
      <c r="L25" s="73"/>
      <c r="M25" s="91">
        <f t="shared" si="3"/>
        <v>107.06801092323033</v>
      </c>
      <c r="N25" s="84">
        <f t="shared" si="9"/>
        <v>559.74569683455354</v>
      </c>
      <c r="O25" s="73"/>
      <c r="P25" s="73"/>
      <c r="T25" s="98">
        <f t="shared" si="10"/>
        <v>107.06801092323033</v>
      </c>
    </row>
    <row r="26" spans="1:20">
      <c r="A26" s="83">
        <v>7</v>
      </c>
      <c r="B26" s="77">
        <f t="shared" si="4"/>
        <v>45689</v>
      </c>
      <c r="C26" s="83">
        <f t="shared" si="1"/>
        <v>84.211728302486065</v>
      </c>
      <c r="D26" s="84">
        <f t="shared" si="5"/>
        <v>22.856282620744267</v>
      </c>
      <c r="E26" s="84">
        <f t="shared" si="6"/>
        <v>0</v>
      </c>
      <c r="F26" s="84">
        <f t="shared" si="7"/>
        <v>0</v>
      </c>
      <c r="G26" s="84">
        <v>0</v>
      </c>
      <c r="H26" s="84">
        <f t="shared" si="8"/>
        <v>107.06801092323033</v>
      </c>
      <c r="I26" s="84">
        <f t="shared" si="2"/>
        <v>14.035288050414344</v>
      </c>
      <c r="J26" s="83"/>
      <c r="K26" s="83"/>
      <c r="L26" s="73"/>
      <c r="M26" s="91">
        <f t="shared" si="3"/>
        <v>107.06801092323033</v>
      </c>
      <c r="N26" s="84">
        <f t="shared" si="9"/>
        <v>475.53396853206749</v>
      </c>
      <c r="O26" s="73"/>
      <c r="P26" s="73"/>
      <c r="T26" s="98">
        <f t="shared" si="10"/>
        <v>107.06801092323033</v>
      </c>
    </row>
    <row r="27" spans="1:20">
      <c r="A27" s="83">
        <v>8</v>
      </c>
      <c r="B27" s="77">
        <f t="shared" si="4"/>
        <v>45717</v>
      </c>
      <c r="C27" s="83">
        <f t="shared" si="1"/>
        <v>87.650373874837584</v>
      </c>
      <c r="D27" s="84">
        <f t="shared" si="5"/>
        <v>19.417637048392756</v>
      </c>
      <c r="E27" s="84">
        <f t="shared" si="6"/>
        <v>0</v>
      </c>
      <c r="F27" s="84">
        <f t="shared" si="7"/>
        <v>0</v>
      </c>
      <c r="G27" s="84">
        <v>0</v>
      </c>
      <c r="H27" s="84">
        <f t="shared" si="8"/>
        <v>107.06801092323033</v>
      </c>
      <c r="I27" s="84">
        <f t="shared" si="2"/>
        <v>14.608395645806263</v>
      </c>
      <c r="J27" s="83"/>
      <c r="K27" s="83"/>
      <c r="L27" s="73"/>
      <c r="M27" s="91">
        <f t="shared" si="3"/>
        <v>107.06801092323033</v>
      </c>
      <c r="N27" s="84">
        <f t="shared" si="9"/>
        <v>387.88359465722988</v>
      </c>
      <c r="O27" s="73"/>
      <c r="P27" s="73"/>
      <c r="T27" s="98">
        <f t="shared" si="10"/>
        <v>107.06801092323033</v>
      </c>
    </row>
    <row r="28" spans="1:20">
      <c r="A28" s="83">
        <v>9</v>
      </c>
      <c r="B28" s="77">
        <f t="shared" si="4"/>
        <v>45748</v>
      </c>
      <c r="C28" s="83">
        <f t="shared" si="1"/>
        <v>91.229430808060116</v>
      </c>
      <c r="D28" s="84">
        <f t="shared" si="5"/>
        <v>15.838580115170219</v>
      </c>
      <c r="E28" s="84">
        <f t="shared" si="6"/>
        <v>0</v>
      </c>
      <c r="F28" s="84">
        <f t="shared" si="7"/>
        <v>0</v>
      </c>
      <c r="G28" s="84">
        <v>0</v>
      </c>
      <c r="H28" s="84">
        <f t="shared" si="8"/>
        <v>107.06801092323033</v>
      </c>
      <c r="I28" s="84">
        <f t="shared" si="2"/>
        <v>15.204905134676686</v>
      </c>
      <c r="J28" s="83"/>
      <c r="K28" s="83"/>
      <c r="L28" s="73"/>
      <c r="M28" s="91">
        <f t="shared" si="3"/>
        <v>107.06801092323033</v>
      </c>
      <c r="N28" s="84">
        <f t="shared" si="9"/>
        <v>296.65416384916978</v>
      </c>
      <c r="O28" s="73"/>
      <c r="P28" s="73"/>
      <c r="T28" s="98">
        <f t="shared" si="10"/>
        <v>107.06801092323033</v>
      </c>
    </row>
    <row r="29" spans="1:20">
      <c r="A29" s="83">
        <v>10</v>
      </c>
      <c r="B29" s="77">
        <f t="shared" si="4"/>
        <v>45778</v>
      </c>
      <c r="C29" s="83">
        <f t="shared" si="1"/>
        <v>94.954632566055892</v>
      </c>
      <c r="D29" s="84">
        <f t="shared" si="5"/>
        <v>12.113378357174433</v>
      </c>
      <c r="E29" s="84">
        <f t="shared" si="6"/>
        <v>0</v>
      </c>
      <c r="F29" s="84">
        <f t="shared" si="7"/>
        <v>0</v>
      </c>
      <c r="G29" s="84">
        <v>0</v>
      </c>
      <c r="H29" s="84">
        <f t="shared" si="8"/>
        <v>107.06801092323033</v>
      </c>
      <c r="I29" s="84">
        <f t="shared" si="2"/>
        <v>15.82577209434265</v>
      </c>
      <c r="J29" s="83"/>
      <c r="K29" s="83"/>
      <c r="L29" s="73"/>
      <c r="M29" s="91">
        <f t="shared" si="3"/>
        <v>107.06801092323033</v>
      </c>
      <c r="N29" s="84">
        <f t="shared" si="9"/>
        <v>201.69953128311388</v>
      </c>
      <c r="O29" s="73"/>
      <c r="P29" s="73"/>
      <c r="T29" s="98">
        <f t="shared" si="10"/>
        <v>107.06801092323033</v>
      </c>
    </row>
    <row r="30" spans="1:20">
      <c r="A30" s="83">
        <v>11</v>
      </c>
      <c r="B30" s="77">
        <f t="shared" si="4"/>
        <v>45809</v>
      </c>
      <c r="C30" s="83">
        <f t="shared" si="1"/>
        <v>98.831946729169843</v>
      </c>
      <c r="D30" s="84">
        <f t="shared" si="5"/>
        <v>8.236064194060484</v>
      </c>
      <c r="E30" s="84">
        <f t="shared" si="6"/>
        <v>0</v>
      </c>
      <c r="F30" s="84">
        <f t="shared" si="7"/>
        <v>0</v>
      </c>
      <c r="G30" s="84">
        <v>0</v>
      </c>
      <c r="H30" s="84">
        <f t="shared" si="8"/>
        <v>107.06801092323033</v>
      </c>
      <c r="I30" s="84">
        <f t="shared" si="2"/>
        <v>16.471991121528308</v>
      </c>
      <c r="J30" s="83"/>
      <c r="K30" s="83"/>
      <c r="L30" s="73"/>
      <c r="M30" s="91">
        <f t="shared" si="3"/>
        <v>107.06801092323033</v>
      </c>
      <c r="N30" s="84">
        <f t="shared" si="9"/>
        <v>102.86758455394404</v>
      </c>
      <c r="O30" s="73"/>
      <c r="P30" s="73"/>
      <c r="T30" s="98">
        <f t="shared" si="10"/>
        <v>107.06801092323033</v>
      </c>
    </row>
    <row r="31" spans="1:20">
      <c r="A31" s="83">
        <v>12</v>
      </c>
      <c r="B31" s="77">
        <f t="shared" si="4"/>
        <v>45839</v>
      </c>
      <c r="C31" s="83">
        <f>N30</f>
        <v>102.86758455394404</v>
      </c>
      <c r="D31" s="84">
        <f t="shared" si="5"/>
        <v>4.2004263692860482</v>
      </c>
      <c r="E31" s="84">
        <f t="shared" si="6"/>
        <v>0</v>
      </c>
      <c r="F31" s="84">
        <f t="shared" si="7"/>
        <v>0</v>
      </c>
      <c r="G31" s="84">
        <v>0</v>
      </c>
      <c r="H31" s="84">
        <f t="shared" si="8"/>
        <v>107.06801092323009</v>
      </c>
      <c r="I31" s="84">
        <f t="shared" si="2"/>
        <v>17.144597425657341</v>
      </c>
      <c r="J31" s="83"/>
      <c r="K31" s="83"/>
      <c r="L31" s="73"/>
      <c r="M31" s="91">
        <f>SUM(C31,D31,G31,J31,K31,L31)</f>
        <v>107.06801092323009</v>
      </c>
      <c r="N31" s="84">
        <f t="shared" si="9"/>
        <v>0</v>
      </c>
      <c r="O31" s="73"/>
      <c r="P31" s="73"/>
      <c r="T31" s="98">
        <f t="shared" si="10"/>
        <v>107.06801092323033</v>
      </c>
    </row>
    <row r="32" spans="1:20">
      <c r="A32" s="83">
        <v>13</v>
      </c>
      <c r="B32" s="77">
        <f t="shared" si="4"/>
        <v>45870</v>
      </c>
      <c r="C32" s="83">
        <f t="shared" ref="C32:C95" si="11">IF(A32&lt;=$F$7,(IF($F$6&lt;=40%,IF($F$9=$I$6,(-$C$19-$F$5*$K$13)/$F$7+IF(A32=$F$7,$F$5*$K$13,0),MINA(((N31-$F$5*$K$13)/($F$7-A32+1)*$F$10),(N31-$F$5*$K$13))+IF(A32=$F$7,$F$5*$K$13,0)),IF(A32=1,F17*(F18-40%),IF($F$9=$I$6,(-$C$19-$F$5*$K$13)/$F$7+IF(A32=$F$7,$F$5*$K$13,0),MINA(((N31-$F$5*$K$13)/($F$7-A32+1)*$F$10),(N31-$F$5*$K$13))+IF(A32=$F$7,$F$5*$K$13,0))))),0)</f>
        <v>0</v>
      </c>
      <c r="D32" s="84">
        <f t="shared" si="5"/>
        <v>0</v>
      </c>
      <c r="E32" s="84">
        <f t="shared" si="6"/>
        <v>0</v>
      </c>
      <c r="F32" s="84">
        <f t="shared" si="7"/>
        <v>0</v>
      </c>
      <c r="G32" s="84">
        <f t="shared" ref="G32:G95" si="12">IF(A32&lt;=$F$7,$F$5*VLOOKUP(ROUNDUP(A32/12,0),$O$7:$R$13,4,0)/12,0)-F32</f>
        <v>0</v>
      </c>
      <c r="H32" s="83">
        <f t="shared" si="8"/>
        <v>0</v>
      </c>
      <c r="I32" s="84">
        <f t="shared" si="2"/>
        <v>0</v>
      </c>
      <c r="J32" s="83"/>
      <c r="K32" s="83"/>
      <c r="L32" s="73"/>
      <c r="M32" s="91">
        <f t="shared" si="3"/>
        <v>0</v>
      </c>
      <c r="N32" s="84">
        <f t="shared" si="9"/>
        <v>0</v>
      </c>
      <c r="O32" s="73"/>
      <c r="P32" s="73"/>
    </row>
    <row r="33" spans="1:16">
      <c r="A33" s="83">
        <v>14</v>
      </c>
      <c r="B33" s="77">
        <f t="shared" si="4"/>
        <v>45901</v>
      </c>
      <c r="C33" s="83">
        <f t="shared" si="11"/>
        <v>0</v>
      </c>
      <c r="D33" s="84">
        <f t="shared" si="5"/>
        <v>0</v>
      </c>
      <c r="E33" s="84">
        <f t="shared" si="6"/>
        <v>0</v>
      </c>
      <c r="F33" s="84">
        <f t="shared" si="7"/>
        <v>0</v>
      </c>
      <c r="G33" s="84">
        <f t="shared" si="12"/>
        <v>0</v>
      </c>
      <c r="H33" s="83">
        <f t="shared" si="8"/>
        <v>0</v>
      </c>
      <c r="I33" s="84">
        <f t="shared" si="2"/>
        <v>0</v>
      </c>
      <c r="J33" s="83"/>
      <c r="K33" s="83"/>
      <c r="L33" s="73"/>
      <c r="M33" s="91">
        <f t="shared" si="3"/>
        <v>0</v>
      </c>
      <c r="N33" s="84">
        <f t="shared" si="9"/>
        <v>0</v>
      </c>
      <c r="O33" s="73"/>
      <c r="P33" s="73"/>
    </row>
    <row r="34" spans="1:16">
      <c r="A34" s="83">
        <v>15</v>
      </c>
      <c r="B34" s="77">
        <f t="shared" si="4"/>
        <v>45931</v>
      </c>
      <c r="C34" s="83">
        <f t="shared" si="11"/>
        <v>0</v>
      </c>
      <c r="D34" s="84">
        <f t="shared" si="5"/>
        <v>0</v>
      </c>
      <c r="E34" s="84">
        <f t="shared" si="6"/>
        <v>0</v>
      </c>
      <c r="F34" s="84">
        <f t="shared" si="7"/>
        <v>0</v>
      </c>
      <c r="G34" s="84">
        <f t="shared" si="12"/>
        <v>0</v>
      </c>
      <c r="H34" s="83">
        <f t="shared" si="8"/>
        <v>0</v>
      </c>
      <c r="I34" s="84">
        <f t="shared" si="2"/>
        <v>0</v>
      </c>
      <c r="J34" s="83"/>
      <c r="K34" s="83"/>
      <c r="L34" s="73"/>
      <c r="M34" s="91">
        <f t="shared" si="3"/>
        <v>0</v>
      </c>
      <c r="N34" s="84">
        <f t="shared" si="9"/>
        <v>0</v>
      </c>
      <c r="O34" s="73"/>
      <c r="P34" s="73"/>
    </row>
    <row r="35" spans="1:16">
      <c r="A35" s="83">
        <v>16</v>
      </c>
      <c r="B35" s="77">
        <f t="shared" si="4"/>
        <v>45962</v>
      </c>
      <c r="C35" s="83">
        <f t="shared" si="11"/>
        <v>0</v>
      </c>
      <c r="D35" s="84">
        <f t="shared" si="5"/>
        <v>0</v>
      </c>
      <c r="E35" s="84">
        <f t="shared" si="6"/>
        <v>0</v>
      </c>
      <c r="F35" s="84">
        <f t="shared" si="7"/>
        <v>0</v>
      </c>
      <c r="G35" s="84">
        <f t="shared" si="12"/>
        <v>0</v>
      </c>
      <c r="H35" s="83">
        <f t="shared" si="8"/>
        <v>0</v>
      </c>
      <c r="I35" s="84">
        <f t="shared" si="2"/>
        <v>0</v>
      </c>
      <c r="J35" s="83"/>
      <c r="K35" s="83"/>
      <c r="L35" s="73"/>
      <c r="M35" s="91">
        <f t="shared" si="3"/>
        <v>0</v>
      </c>
      <c r="N35" s="84">
        <f t="shared" si="9"/>
        <v>0</v>
      </c>
      <c r="O35" s="73"/>
      <c r="P35" s="73"/>
    </row>
    <row r="36" spans="1:16">
      <c r="A36" s="83">
        <v>17</v>
      </c>
      <c r="B36" s="77">
        <f t="shared" si="4"/>
        <v>45992</v>
      </c>
      <c r="C36" s="83">
        <f t="shared" si="11"/>
        <v>0</v>
      </c>
      <c r="D36" s="84">
        <f t="shared" si="5"/>
        <v>0</v>
      </c>
      <c r="E36" s="84">
        <f t="shared" si="6"/>
        <v>0</v>
      </c>
      <c r="F36" s="84">
        <f t="shared" si="7"/>
        <v>0</v>
      </c>
      <c r="G36" s="84">
        <f t="shared" si="12"/>
        <v>0</v>
      </c>
      <c r="H36" s="83">
        <f t="shared" si="8"/>
        <v>0</v>
      </c>
      <c r="I36" s="84">
        <f t="shared" si="2"/>
        <v>0</v>
      </c>
      <c r="J36" s="83"/>
      <c r="K36" s="83"/>
      <c r="L36" s="73"/>
      <c r="M36" s="91">
        <f t="shared" si="3"/>
        <v>0</v>
      </c>
      <c r="N36" s="84">
        <f t="shared" si="9"/>
        <v>0</v>
      </c>
      <c r="O36" s="73"/>
      <c r="P36" s="73"/>
    </row>
    <row r="37" spans="1:16">
      <c r="A37" s="83">
        <v>18</v>
      </c>
      <c r="B37" s="77">
        <f t="shared" si="4"/>
        <v>46023</v>
      </c>
      <c r="C37" s="83">
        <f t="shared" si="11"/>
        <v>0</v>
      </c>
      <c r="D37" s="84">
        <f t="shared" si="5"/>
        <v>0</v>
      </c>
      <c r="E37" s="84">
        <f t="shared" si="6"/>
        <v>0</v>
      </c>
      <c r="F37" s="84">
        <f t="shared" si="7"/>
        <v>0</v>
      </c>
      <c r="G37" s="84">
        <f t="shared" si="12"/>
        <v>0</v>
      </c>
      <c r="H37" s="83">
        <f t="shared" si="8"/>
        <v>0</v>
      </c>
      <c r="I37" s="84">
        <f t="shared" si="2"/>
        <v>0</v>
      </c>
      <c r="J37" s="83"/>
      <c r="K37" s="83"/>
      <c r="L37" s="73"/>
      <c r="M37" s="91">
        <f t="shared" si="3"/>
        <v>0</v>
      </c>
      <c r="N37" s="84">
        <f t="shared" si="9"/>
        <v>0</v>
      </c>
      <c r="O37" s="73"/>
      <c r="P37" s="73"/>
    </row>
    <row r="38" spans="1:16">
      <c r="A38" s="83">
        <v>19</v>
      </c>
      <c r="B38" s="77">
        <f t="shared" si="4"/>
        <v>46054</v>
      </c>
      <c r="C38" s="83">
        <f t="shared" si="11"/>
        <v>0</v>
      </c>
      <c r="D38" s="84">
        <f t="shared" si="5"/>
        <v>0</v>
      </c>
      <c r="E38" s="84">
        <f t="shared" si="6"/>
        <v>0</v>
      </c>
      <c r="F38" s="84">
        <f t="shared" si="7"/>
        <v>0</v>
      </c>
      <c r="G38" s="84">
        <f t="shared" si="12"/>
        <v>0</v>
      </c>
      <c r="H38" s="83">
        <f t="shared" si="8"/>
        <v>0</v>
      </c>
      <c r="I38" s="84">
        <f t="shared" si="2"/>
        <v>0</v>
      </c>
      <c r="J38" s="83"/>
      <c r="K38" s="83"/>
      <c r="L38" s="73"/>
      <c r="M38" s="91">
        <f t="shared" si="3"/>
        <v>0</v>
      </c>
      <c r="N38" s="84">
        <f t="shared" si="9"/>
        <v>0</v>
      </c>
      <c r="O38" s="73"/>
      <c r="P38" s="73"/>
    </row>
    <row r="39" spans="1:16">
      <c r="A39" s="83">
        <v>20</v>
      </c>
      <c r="B39" s="77">
        <f t="shared" si="4"/>
        <v>46082</v>
      </c>
      <c r="C39" s="83">
        <f t="shared" si="11"/>
        <v>0</v>
      </c>
      <c r="D39" s="84">
        <f t="shared" si="5"/>
        <v>0</v>
      </c>
      <c r="E39" s="84">
        <f t="shared" si="6"/>
        <v>0</v>
      </c>
      <c r="F39" s="84">
        <f t="shared" si="7"/>
        <v>0</v>
      </c>
      <c r="G39" s="84">
        <f t="shared" si="12"/>
        <v>0</v>
      </c>
      <c r="H39" s="83">
        <f t="shared" si="8"/>
        <v>0</v>
      </c>
      <c r="I39" s="84">
        <f t="shared" si="2"/>
        <v>0</v>
      </c>
      <c r="J39" s="83"/>
      <c r="K39" s="83"/>
      <c r="L39" s="73"/>
      <c r="M39" s="91">
        <f t="shared" si="3"/>
        <v>0</v>
      </c>
      <c r="N39" s="84">
        <f t="shared" si="9"/>
        <v>0</v>
      </c>
      <c r="O39" s="73"/>
      <c r="P39" s="73"/>
    </row>
    <row r="40" spans="1:16">
      <c r="A40" s="83">
        <v>21</v>
      </c>
      <c r="B40" s="77">
        <f t="shared" si="4"/>
        <v>46113</v>
      </c>
      <c r="C40" s="83">
        <f t="shared" si="11"/>
        <v>0</v>
      </c>
      <c r="D40" s="84">
        <f t="shared" si="5"/>
        <v>0</v>
      </c>
      <c r="E40" s="84">
        <f t="shared" si="6"/>
        <v>0</v>
      </c>
      <c r="F40" s="84">
        <f t="shared" si="7"/>
        <v>0</v>
      </c>
      <c r="G40" s="84">
        <f t="shared" si="12"/>
        <v>0</v>
      </c>
      <c r="H40" s="83">
        <f t="shared" si="8"/>
        <v>0</v>
      </c>
      <c r="I40" s="84">
        <f t="shared" si="2"/>
        <v>0</v>
      </c>
      <c r="J40" s="83"/>
      <c r="K40" s="83"/>
      <c r="L40" s="73"/>
      <c r="M40" s="91">
        <f t="shared" si="3"/>
        <v>0</v>
      </c>
      <c r="N40" s="84">
        <f t="shared" si="9"/>
        <v>0</v>
      </c>
      <c r="O40" s="73"/>
      <c r="P40" s="73"/>
    </row>
    <row r="41" spans="1:16">
      <c r="A41" s="83">
        <v>22</v>
      </c>
      <c r="B41" s="77">
        <f t="shared" si="4"/>
        <v>46143</v>
      </c>
      <c r="C41" s="83">
        <f t="shared" si="11"/>
        <v>0</v>
      </c>
      <c r="D41" s="84">
        <f t="shared" si="5"/>
        <v>0</v>
      </c>
      <c r="E41" s="84">
        <f t="shared" si="6"/>
        <v>0</v>
      </c>
      <c r="F41" s="84">
        <f t="shared" si="7"/>
        <v>0</v>
      </c>
      <c r="G41" s="84">
        <f t="shared" si="12"/>
        <v>0</v>
      </c>
      <c r="H41" s="83">
        <f t="shared" si="8"/>
        <v>0</v>
      </c>
      <c r="I41" s="84">
        <f t="shared" si="2"/>
        <v>0</v>
      </c>
      <c r="J41" s="83"/>
      <c r="K41" s="83"/>
      <c r="L41" s="73"/>
      <c r="M41" s="91">
        <f t="shared" si="3"/>
        <v>0</v>
      </c>
      <c r="N41" s="84">
        <f t="shared" si="9"/>
        <v>0</v>
      </c>
      <c r="O41" s="73"/>
      <c r="P41" s="73"/>
    </row>
    <row r="42" spans="1:16">
      <c r="A42" s="83">
        <v>23</v>
      </c>
      <c r="B42" s="77">
        <f t="shared" si="4"/>
        <v>46174</v>
      </c>
      <c r="C42" s="83">
        <f t="shared" si="11"/>
        <v>0</v>
      </c>
      <c r="D42" s="84">
        <f t="shared" si="5"/>
        <v>0</v>
      </c>
      <c r="E42" s="84">
        <f t="shared" si="6"/>
        <v>0</v>
      </c>
      <c r="F42" s="84">
        <f t="shared" si="7"/>
        <v>0</v>
      </c>
      <c r="G42" s="84">
        <f t="shared" si="12"/>
        <v>0</v>
      </c>
      <c r="H42" s="83">
        <f t="shared" si="8"/>
        <v>0</v>
      </c>
      <c r="I42" s="84">
        <f t="shared" si="2"/>
        <v>0</v>
      </c>
      <c r="J42" s="83"/>
      <c r="K42" s="83"/>
      <c r="L42" s="73"/>
      <c r="M42" s="91">
        <f t="shared" si="3"/>
        <v>0</v>
      </c>
      <c r="N42" s="84">
        <f t="shared" si="9"/>
        <v>0</v>
      </c>
      <c r="O42" s="73"/>
      <c r="P42" s="73"/>
    </row>
    <row r="43" spans="1:16">
      <c r="A43" s="83">
        <v>24</v>
      </c>
      <c r="B43" s="77">
        <f t="shared" si="4"/>
        <v>46204</v>
      </c>
      <c r="C43" s="83">
        <f t="shared" si="11"/>
        <v>0</v>
      </c>
      <c r="D43" s="84">
        <f t="shared" si="5"/>
        <v>0</v>
      </c>
      <c r="E43" s="84">
        <f t="shared" si="6"/>
        <v>0</v>
      </c>
      <c r="F43" s="84">
        <f t="shared" si="7"/>
        <v>0</v>
      </c>
      <c r="G43" s="84">
        <f t="shared" si="12"/>
        <v>0</v>
      </c>
      <c r="H43" s="83">
        <f t="shared" si="8"/>
        <v>0</v>
      </c>
      <c r="I43" s="84">
        <f t="shared" si="2"/>
        <v>0</v>
      </c>
      <c r="J43" s="83"/>
      <c r="K43" s="83"/>
      <c r="L43" s="73"/>
      <c r="M43" s="91">
        <f t="shared" si="3"/>
        <v>0</v>
      </c>
      <c r="N43" s="84">
        <f t="shared" si="9"/>
        <v>0</v>
      </c>
      <c r="O43" s="73"/>
      <c r="P43" s="73"/>
    </row>
    <row r="44" spans="1:16">
      <c r="A44" s="83">
        <v>25</v>
      </c>
      <c r="B44" s="77">
        <f t="shared" si="4"/>
        <v>46235</v>
      </c>
      <c r="C44" s="83">
        <f t="shared" si="11"/>
        <v>0</v>
      </c>
      <c r="D44" s="84">
        <f t="shared" si="5"/>
        <v>0</v>
      </c>
      <c r="E44" s="84">
        <f t="shared" si="6"/>
        <v>0</v>
      </c>
      <c r="F44" s="84">
        <f t="shared" si="7"/>
        <v>0</v>
      </c>
      <c r="G44" s="84">
        <f t="shared" si="12"/>
        <v>0</v>
      </c>
      <c r="H44" s="83">
        <f t="shared" si="8"/>
        <v>0</v>
      </c>
      <c r="I44" s="84">
        <f t="shared" si="2"/>
        <v>0</v>
      </c>
      <c r="J44" s="83"/>
      <c r="K44" s="83"/>
      <c r="L44" s="73"/>
      <c r="M44" s="91">
        <f t="shared" si="3"/>
        <v>0</v>
      </c>
      <c r="N44" s="84">
        <f t="shared" si="9"/>
        <v>0</v>
      </c>
      <c r="O44" s="73"/>
      <c r="P44" s="73"/>
    </row>
    <row r="45" spans="1:16">
      <c r="A45" s="83">
        <v>26</v>
      </c>
      <c r="B45" s="77">
        <f t="shared" si="4"/>
        <v>46266</v>
      </c>
      <c r="C45" s="83">
        <f t="shared" si="11"/>
        <v>0</v>
      </c>
      <c r="D45" s="84">
        <f t="shared" si="5"/>
        <v>0</v>
      </c>
      <c r="E45" s="84">
        <f t="shared" si="6"/>
        <v>0</v>
      </c>
      <c r="F45" s="84">
        <f t="shared" si="7"/>
        <v>0</v>
      </c>
      <c r="G45" s="84">
        <f t="shared" si="12"/>
        <v>0</v>
      </c>
      <c r="H45" s="83">
        <f t="shared" si="8"/>
        <v>0</v>
      </c>
      <c r="I45" s="84">
        <f t="shared" si="2"/>
        <v>0</v>
      </c>
      <c r="J45" s="83"/>
      <c r="K45" s="83"/>
      <c r="L45" s="73"/>
      <c r="M45" s="91">
        <f t="shared" si="3"/>
        <v>0</v>
      </c>
      <c r="N45" s="84">
        <f t="shared" si="9"/>
        <v>0</v>
      </c>
      <c r="O45" s="73"/>
      <c r="P45" s="73"/>
    </row>
    <row r="46" spans="1:16">
      <c r="A46" s="83">
        <v>27</v>
      </c>
      <c r="B46" s="77">
        <f t="shared" si="4"/>
        <v>46296</v>
      </c>
      <c r="C46" s="83">
        <f t="shared" si="11"/>
        <v>0</v>
      </c>
      <c r="D46" s="84">
        <f t="shared" si="5"/>
        <v>0</v>
      </c>
      <c r="E46" s="84">
        <f t="shared" si="6"/>
        <v>0</v>
      </c>
      <c r="F46" s="84">
        <f t="shared" si="7"/>
        <v>0</v>
      </c>
      <c r="G46" s="84">
        <f t="shared" si="12"/>
        <v>0</v>
      </c>
      <c r="H46" s="83">
        <f t="shared" si="8"/>
        <v>0</v>
      </c>
      <c r="I46" s="84">
        <f t="shared" si="2"/>
        <v>0</v>
      </c>
      <c r="J46" s="83"/>
      <c r="K46" s="83"/>
      <c r="L46" s="73"/>
      <c r="M46" s="91">
        <f t="shared" si="3"/>
        <v>0</v>
      </c>
      <c r="N46" s="84">
        <f t="shared" si="9"/>
        <v>0</v>
      </c>
      <c r="O46" s="73"/>
      <c r="P46" s="73"/>
    </row>
    <row r="47" spans="1:16">
      <c r="A47" s="83">
        <v>28</v>
      </c>
      <c r="B47" s="77">
        <f t="shared" si="4"/>
        <v>46327</v>
      </c>
      <c r="C47" s="83">
        <f t="shared" si="11"/>
        <v>0</v>
      </c>
      <c r="D47" s="84">
        <f t="shared" si="5"/>
        <v>0</v>
      </c>
      <c r="E47" s="84">
        <f t="shared" si="6"/>
        <v>0</v>
      </c>
      <c r="F47" s="84">
        <f t="shared" si="7"/>
        <v>0</v>
      </c>
      <c r="G47" s="84">
        <f t="shared" si="12"/>
        <v>0</v>
      </c>
      <c r="H47" s="83">
        <f t="shared" si="8"/>
        <v>0</v>
      </c>
      <c r="I47" s="84">
        <f t="shared" si="2"/>
        <v>0</v>
      </c>
      <c r="J47" s="83"/>
      <c r="K47" s="83"/>
      <c r="L47" s="73"/>
      <c r="M47" s="91">
        <f t="shared" si="3"/>
        <v>0</v>
      </c>
      <c r="N47" s="84">
        <f t="shared" si="9"/>
        <v>0</v>
      </c>
      <c r="O47" s="73"/>
      <c r="P47" s="73"/>
    </row>
    <row r="48" spans="1:16">
      <c r="A48" s="83">
        <v>29</v>
      </c>
      <c r="B48" s="77">
        <f t="shared" si="4"/>
        <v>46357</v>
      </c>
      <c r="C48" s="83">
        <f t="shared" si="11"/>
        <v>0</v>
      </c>
      <c r="D48" s="84">
        <f t="shared" si="5"/>
        <v>0</v>
      </c>
      <c r="E48" s="84">
        <f t="shared" si="6"/>
        <v>0</v>
      </c>
      <c r="F48" s="84">
        <f t="shared" si="7"/>
        <v>0</v>
      </c>
      <c r="G48" s="84">
        <f t="shared" si="12"/>
        <v>0</v>
      </c>
      <c r="H48" s="83">
        <f t="shared" si="8"/>
        <v>0</v>
      </c>
      <c r="I48" s="84">
        <f t="shared" si="2"/>
        <v>0</v>
      </c>
      <c r="J48" s="83"/>
      <c r="K48" s="83"/>
      <c r="L48" s="73"/>
      <c r="M48" s="91">
        <f t="shared" si="3"/>
        <v>0</v>
      </c>
      <c r="N48" s="84">
        <f t="shared" si="9"/>
        <v>0</v>
      </c>
      <c r="O48" s="73"/>
      <c r="P48" s="73"/>
    </row>
    <row r="49" spans="1:16">
      <c r="A49" s="83">
        <v>30</v>
      </c>
      <c r="B49" s="77">
        <f t="shared" si="4"/>
        <v>46388</v>
      </c>
      <c r="C49" s="83">
        <f t="shared" si="11"/>
        <v>0</v>
      </c>
      <c r="D49" s="84">
        <f t="shared" si="5"/>
        <v>0</v>
      </c>
      <c r="E49" s="84">
        <f t="shared" si="6"/>
        <v>0</v>
      </c>
      <c r="F49" s="84">
        <f t="shared" si="7"/>
        <v>0</v>
      </c>
      <c r="G49" s="84">
        <f t="shared" si="12"/>
        <v>0</v>
      </c>
      <c r="H49" s="83">
        <f t="shared" si="8"/>
        <v>0</v>
      </c>
      <c r="I49" s="84">
        <f t="shared" si="2"/>
        <v>0</v>
      </c>
      <c r="J49" s="83"/>
      <c r="K49" s="83"/>
      <c r="L49" s="73"/>
      <c r="M49" s="91">
        <f t="shared" si="3"/>
        <v>0</v>
      </c>
      <c r="N49" s="84">
        <f t="shared" si="9"/>
        <v>0</v>
      </c>
      <c r="O49" s="73"/>
      <c r="P49" s="73"/>
    </row>
    <row r="50" spans="1:16">
      <c r="A50" s="83">
        <v>31</v>
      </c>
      <c r="B50" s="77">
        <f t="shared" si="4"/>
        <v>46419</v>
      </c>
      <c r="C50" s="83">
        <f t="shared" si="11"/>
        <v>0</v>
      </c>
      <c r="D50" s="84">
        <f t="shared" si="5"/>
        <v>0</v>
      </c>
      <c r="E50" s="84">
        <f t="shared" si="6"/>
        <v>0</v>
      </c>
      <c r="F50" s="84">
        <f t="shared" si="7"/>
        <v>0</v>
      </c>
      <c r="G50" s="84">
        <f t="shared" si="12"/>
        <v>0</v>
      </c>
      <c r="H50" s="83">
        <f t="shared" si="8"/>
        <v>0</v>
      </c>
      <c r="I50" s="84">
        <f t="shared" si="2"/>
        <v>0</v>
      </c>
      <c r="J50" s="83"/>
      <c r="K50" s="83"/>
      <c r="L50" s="73"/>
      <c r="M50" s="91">
        <f t="shared" si="3"/>
        <v>0</v>
      </c>
      <c r="N50" s="84">
        <f t="shared" si="9"/>
        <v>0</v>
      </c>
      <c r="O50" s="73"/>
      <c r="P50" s="73"/>
    </row>
    <row r="51" spans="1:16">
      <c r="A51" s="83">
        <v>32</v>
      </c>
      <c r="B51" s="77">
        <f t="shared" si="4"/>
        <v>46447</v>
      </c>
      <c r="C51" s="83">
        <f t="shared" si="11"/>
        <v>0</v>
      </c>
      <c r="D51" s="84">
        <f t="shared" si="5"/>
        <v>0</v>
      </c>
      <c r="E51" s="84">
        <f t="shared" si="6"/>
        <v>0</v>
      </c>
      <c r="F51" s="84">
        <f t="shared" si="7"/>
        <v>0</v>
      </c>
      <c r="G51" s="84">
        <f t="shared" si="12"/>
        <v>0</v>
      </c>
      <c r="H51" s="83">
        <f t="shared" si="8"/>
        <v>0</v>
      </c>
      <c r="I51" s="84">
        <f t="shared" si="2"/>
        <v>0</v>
      </c>
      <c r="J51" s="83"/>
      <c r="K51" s="83"/>
      <c r="L51" s="73"/>
      <c r="M51" s="91">
        <f t="shared" si="3"/>
        <v>0</v>
      </c>
      <c r="N51" s="84">
        <f t="shared" si="9"/>
        <v>0</v>
      </c>
      <c r="O51" s="73"/>
      <c r="P51" s="73"/>
    </row>
    <row r="52" spans="1:16">
      <c r="A52" s="83">
        <v>33</v>
      </c>
      <c r="B52" s="77">
        <f t="shared" si="4"/>
        <v>46478</v>
      </c>
      <c r="C52" s="83">
        <f t="shared" si="11"/>
        <v>0</v>
      </c>
      <c r="D52" s="84">
        <f t="shared" si="5"/>
        <v>0</v>
      </c>
      <c r="E52" s="84">
        <f t="shared" si="6"/>
        <v>0</v>
      </c>
      <c r="F52" s="84">
        <f t="shared" si="7"/>
        <v>0</v>
      </c>
      <c r="G52" s="84">
        <f t="shared" si="12"/>
        <v>0</v>
      </c>
      <c r="H52" s="83">
        <f t="shared" si="8"/>
        <v>0</v>
      </c>
      <c r="I52" s="84">
        <f t="shared" si="2"/>
        <v>0</v>
      </c>
      <c r="J52" s="83"/>
      <c r="K52" s="83"/>
      <c r="L52" s="73"/>
      <c r="M52" s="91">
        <f t="shared" si="3"/>
        <v>0</v>
      </c>
      <c r="N52" s="84">
        <f t="shared" si="9"/>
        <v>0</v>
      </c>
      <c r="O52" s="73"/>
      <c r="P52" s="73"/>
    </row>
    <row r="53" spans="1:16">
      <c r="A53" s="83">
        <v>34</v>
      </c>
      <c r="B53" s="77">
        <f t="shared" si="4"/>
        <v>46508</v>
      </c>
      <c r="C53" s="83">
        <f t="shared" si="11"/>
        <v>0</v>
      </c>
      <c r="D53" s="84">
        <f t="shared" si="5"/>
        <v>0</v>
      </c>
      <c r="E53" s="84">
        <f t="shared" si="6"/>
        <v>0</v>
      </c>
      <c r="F53" s="84">
        <f t="shared" si="7"/>
        <v>0</v>
      </c>
      <c r="G53" s="84">
        <f t="shared" si="12"/>
        <v>0</v>
      </c>
      <c r="H53" s="83">
        <f t="shared" si="8"/>
        <v>0</v>
      </c>
      <c r="I53" s="84">
        <f t="shared" si="2"/>
        <v>0</v>
      </c>
      <c r="J53" s="83"/>
      <c r="K53" s="83"/>
      <c r="L53" s="73"/>
      <c r="M53" s="91">
        <f t="shared" si="3"/>
        <v>0</v>
      </c>
      <c r="N53" s="84">
        <f t="shared" si="9"/>
        <v>0</v>
      </c>
      <c r="O53" s="73"/>
      <c r="P53" s="73"/>
    </row>
    <row r="54" spans="1:16">
      <c r="A54" s="83">
        <v>35</v>
      </c>
      <c r="B54" s="77">
        <f t="shared" si="4"/>
        <v>46539</v>
      </c>
      <c r="C54" s="83">
        <f t="shared" si="11"/>
        <v>0</v>
      </c>
      <c r="D54" s="84">
        <f t="shared" si="5"/>
        <v>0</v>
      </c>
      <c r="E54" s="84">
        <f t="shared" si="6"/>
        <v>0</v>
      </c>
      <c r="F54" s="84">
        <f t="shared" si="7"/>
        <v>0</v>
      </c>
      <c r="G54" s="84">
        <f t="shared" si="12"/>
        <v>0</v>
      </c>
      <c r="H54" s="83">
        <f t="shared" si="8"/>
        <v>0</v>
      </c>
      <c r="I54" s="84">
        <f t="shared" si="2"/>
        <v>0</v>
      </c>
      <c r="J54" s="83"/>
      <c r="K54" s="83"/>
      <c r="L54" s="73"/>
      <c r="M54" s="91">
        <f t="shared" si="3"/>
        <v>0</v>
      </c>
      <c r="N54" s="84">
        <f t="shared" si="9"/>
        <v>0</v>
      </c>
      <c r="O54" s="73"/>
      <c r="P54" s="73"/>
    </row>
    <row r="55" spans="1:16">
      <c r="A55" s="83">
        <v>36</v>
      </c>
      <c r="B55" s="77">
        <f t="shared" si="4"/>
        <v>46569</v>
      </c>
      <c r="C55" s="83">
        <f t="shared" si="11"/>
        <v>0</v>
      </c>
      <c r="D55" s="84">
        <f t="shared" si="5"/>
        <v>0</v>
      </c>
      <c r="E55" s="84">
        <f t="shared" si="6"/>
        <v>0</v>
      </c>
      <c r="F55" s="84">
        <f t="shared" si="7"/>
        <v>0</v>
      </c>
      <c r="G55" s="84">
        <f t="shared" si="12"/>
        <v>0</v>
      </c>
      <c r="H55" s="83">
        <f t="shared" si="8"/>
        <v>0</v>
      </c>
      <c r="I55" s="84">
        <f t="shared" si="2"/>
        <v>0</v>
      </c>
      <c r="J55" s="83"/>
      <c r="K55" s="83"/>
      <c r="L55" s="73"/>
      <c r="M55" s="91">
        <f t="shared" si="3"/>
        <v>0</v>
      </c>
      <c r="N55" s="84">
        <f t="shared" si="9"/>
        <v>0</v>
      </c>
      <c r="O55" s="73"/>
      <c r="P55" s="73"/>
    </row>
    <row r="56" spans="1:16">
      <c r="A56" s="83">
        <v>37</v>
      </c>
      <c r="B56" s="77">
        <f t="shared" si="4"/>
        <v>46600</v>
      </c>
      <c r="C56" s="83">
        <f t="shared" si="11"/>
        <v>0</v>
      </c>
      <c r="D56" s="84">
        <f t="shared" si="5"/>
        <v>0</v>
      </c>
      <c r="E56" s="84">
        <f t="shared" si="6"/>
        <v>0</v>
      </c>
      <c r="F56" s="84">
        <f t="shared" si="7"/>
        <v>0</v>
      </c>
      <c r="G56" s="84">
        <f t="shared" si="12"/>
        <v>0</v>
      </c>
      <c r="H56" s="83">
        <f t="shared" si="8"/>
        <v>0</v>
      </c>
      <c r="I56" s="84">
        <f t="shared" si="2"/>
        <v>0</v>
      </c>
      <c r="J56" s="83"/>
      <c r="K56" s="83"/>
      <c r="L56" s="73"/>
      <c r="M56" s="91">
        <f t="shared" si="3"/>
        <v>0</v>
      </c>
      <c r="N56" s="84">
        <f t="shared" si="9"/>
        <v>0</v>
      </c>
      <c r="O56" s="73"/>
      <c r="P56" s="73"/>
    </row>
    <row r="57" spans="1:16">
      <c r="A57" s="83">
        <v>38</v>
      </c>
      <c r="B57" s="77">
        <f t="shared" si="4"/>
        <v>46631</v>
      </c>
      <c r="C57" s="83">
        <f t="shared" si="11"/>
        <v>0</v>
      </c>
      <c r="D57" s="84">
        <f t="shared" si="5"/>
        <v>0</v>
      </c>
      <c r="E57" s="84">
        <f t="shared" si="6"/>
        <v>0</v>
      </c>
      <c r="F57" s="84">
        <f t="shared" si="7"/>
        <v>0</v>
      </c>
      <c r="G57" s="84">
        <f t="shared" si="12"/>
        <v>0</v>
      </c>
      <c r="H57" s="83">
        <f t="shared" si="8"/>
        <v>0</v>
      </c>
      <c r="I57" s="84">
        <f t="shared" si="2"/>
        <v>0</v>
      </c>
      <c r="J57" s="83"/>
      <c r="K57" s="83"/>
      <c r="L57" s="73"/>
      <c r="M57" s="91">
        <f t="shared" si="3"/>
        <v>0</v>
      </c>
      <c r="N57" s="84">
        <f t="shared" si="9"/>
        <v>0</v>
      </c>
      <c r="O57" s="73"/>
      <c r="P57" s="73"/>
    </row>
    <row r="58" spans="1:16">
      <c r="A58" s="83">
        <v>39</v>
      </c>
      <c r="B58" s="77">
        <f t="shared" si="4"/>
        <v>46661</v>
      </c>
      <c r="C58" s="83">
        <f t="shared" si="11"/>
        <v>0</v>
      </c>
      <c r="D58" s="84">
        <f t="shared" si="5"/>
        <v>0</v>
      </c>
      <c r="E58" s="84">
        <f t="shared" si="6"/>
        <v>0</v>
      </c>
      <c r="F58" s="84">
        <f t="shared" si="7"/>
        <v>0</v>
      </c>
      <c r="G58" s="84">
        <f t="shared" si="12"/>
        <v>0</v>
      </c>
      <c r="H58" s="83">
        <f t="shared" si="8"/>
        <v>0</v>
      </c>
      <c r="I58" s="84">
        <f t="shared" si="2"/>
        <v>0</v>
      </c>
      <c r="J58" s="83"/>
      <c r="K58" s="83"/>
      <c r="L58" s="73"/>
      <c r="M58" s="91">
        <f t="shared" si="3"/>
        <v>0</v>
      </c>
      <c r="N58" s="84">
        <f t="shared" si="9"/>
        <v>0</v>
      </c>
      <c r="O58" s="73"/>
      <c r="P58" s="73"/>
    </row>
    <row r="59" spans="1:16">
      <c r="A59" s="83">
        <v>40</v>
      </c>
      <c r="B59" s="77">
        <f t="shared" si="4"/>
        <v>46692</v>
      </c>
      <c r="C59" s="83">
        <f t="shared" si="11"/>
        <v>0</v>
      </c>
      <c r="D59" s="84">
        <f t="shared" si="5"/>
        <v>0</v>
      </c>
      <c r="E59" s="84">
        <f t="shared" si="6"/>
        <v>0</v>
      </c>
      <c r="F59" s="84">
        <f t="shared" si="7"/>
        <v>0</v>
      </c>
      <c r="G59" s="84">
        <f t="shared" si="12"/>
        <v>0</v>
      </c>
      <c r="H59" s="83">
        <f t="shared" si="8"/>
        <v>0</v>
      </c>
      <c r="I59" s="84">
        <f t="shared" si="2"/>
        <v>0</v>
      </c>
      <c r="J59" s="83"/>
      <c r="K59" s="83"/>
      <c r="L59" s="73"/>
      <c r="M59" s="91">
        <f t="shared" si="3"/>
        <v>0</v>
      </c>
      <c r="N59" s="84">
        <f t="shared" si="9"/>
        <v>0</v>
      </c>
      <c r="O59" s="73"/>
      <c r="P59" s="73"/>
    </row>
    <row r="60" spans="1:16">
      <c r="A60" s="83">
        <v>41</v>
      </c>
      <c r="B60" s="77">
        <f t="shared" si="4"/>
        <v>46722</v>
      </c>
      <c r="C60" s="83">
        <f t="shared" si="11"/>
        <v>0</v>
      </c>
      <c r="D60" s="84">
        <f t="shared" si="5"/>
        <v>0</v>
      </c>
      <c r="E60" s="84">
        <f t="shared" si="6"/>
        <v>0</v>
      </c>
      <c r="F60" s="84">
        <f t="shared" si="7"/>
        <v>0</v>
      </c>
      <c r="G60" s="84">
        <f t="shared" si="12"/>
        <v>0</v>
      </c>
      <c r="H60" s="83">
        <f t="shared" si="8"/>
        <v>0</v>
      </c>
      <c r="I60" s="84">
        <f t="shared" si="2"/>
        <v>0</v>
      </c>
      <c r="J60" s="83"/>
      <c r="K60" s="83"/>
      <c r="L60" s="73"/>
      <c r="M60" s="91">
        <f t="shared" si="3"/>
        <v>0</v>
      </c>
      <c r="N60" s="84">
        <f t="shared" si="9"/>
        <v>0</v>
      </c>
      <c r="O60" s="73"/>
      <c r="P60" s="73"/>
    </row>
    <row r="61" spans="1:16">
      <c r="A61" s="83">
        <v>42</v>
      </c>
      <c r="B61" s="77">
        <f t="shared" si="4"/>
        <v>46753</v>
      </c>
      <c r="C61" s="83">
        <f t="shared" si="11"/>
        <v>0</v>
      </c>
      <c r="D61" s="84">
        <f t="shared" si="5"/>
        <v>0</v>
      </c>
      <c r="E61" s="84">
        <f t="shared" si="6"/>
        <v>0</v>
      </c>
      <c r="F61" s="84">
        <f t="shared" si="7"/>
        <v>0</v>
      </c>
      <c r="G61" s="84">
        <f t="shared" si="12"/>
        <v>0</v>
      </c>
      <c r="H61" s="83">
        <f t="shared" si="8"/>
        <v>0</v>
      </c>
      <c r="I61" s="84">
        <f t="shared" si="2"/>
        <v>0</v>
      </c>
      <c r="J61" s="83"/>
      <c r="K61" s="83"/>
      <c r="L61" s="73"/>
      <c r="M61" s="91">
        <f t="shared" si="3"/>
        <v>0</v>
      </c>
      <c r="N61" s="84">
        <f t="shared" si="9"/>
        <v>0</v>
      </c>
      <c r="O61" s="73"/>
      <c r="P61" s="73"/>
    </row>
    <row r="62" spans="1:16">
      <c r="A62" s="83">
        <v>43</v>
      </c>
      <c r="B62" s="77">
        <f t="shared" si="4"/>
        <v>46784</v>
      </c>
      <c r="C62" s="83">
        <f t="shared" si="11"/>
        <v>0</v>
      </c>
      <c r="D62" s="84">
        <f t="shared" si="5"/>
        <v>0</v>
      </c>
      <c r="E62" s="84">
        <f t="shared" si="6"/>
        <v>0</v>
      </c>
      <c r="F62" s="84">
        <f t="shared" si="7"/>
        <v>0</v>
      </c>
      <c r="G62" s="84">
        <f t="shared" si="12"/>
        <v>0</v>
      </c>
      <c r="H62" s="83">
        <f t="shared" si="8"/>
        <v>0</v>
      </c>
      <c r="I62" s="84">
        <f t="shared" si="2"/>
        <v>0</v>
      </c>
      <c r="J62" s="83"/>
      <c r="K62" s="83"/>
      <c r="L62" s="73"/>
      <c r="M62" s="91">
        <f t="shared" si="3"/>
        <v>0</v>
      </c>
      <c r="N62" s="84">
        <f t="shared" si="9"/>
        <v>0</v>
      </c>
      <c r="O62" s="73"/>
      <c r="P62" s="73"/>
    </row>
    <row r="63" spans="1:16">
      <c r="A63" s="83">
        <v>44</v>
      </c>
      <c r="B63" s="77">
        <f t="shared" si="4"/>
        <v>46813</v>
      </c>
      <c r="C63" s="83">
        <f t="shared" si="11"/>
        <v>0</v>
      </c>
      <c r="D63" s="84">
        <f t="shared" si="5"/>
        <v>0</v>
      </c>
      <c r="E63" s="84">
        <f t="shared" si="6"/>
        <v>0</v>
      </c>
      <c r="F63" s="84">
        <f t="shared" si="7"/>
        <v>0</v>
      </c>
      <c r="G63" s="84">
        <f t="shared" si="12"/>
        <v>0</v>
      </c>
      <c r="H63" s="83">
        <f t="shared" si="8"/>
        <v>0</v>
      </c>
      <c r="I63" s="84">
        <f t="shared" si="2"/>
        <v>0</v>
      </c>
      <c r="J63" s="83"/>
      <c r="K63" s="83"/>
      <c r="L63" s="73"/>
      <c r="M63" s="91">
        <f t="shared" si="3"/>
        <v>0</v>
      </c>
      <c r="N63" s="84">
        <f t="shared" si="9"/>
        <v>0</v>
      </c>
      <c r="O63" s="73"/>
      <c r="P63" s="73"/>
    </row>
    <row r="64" spans="1:16">
      <c r="A64" s="83">
        <v>45</v>
      </c>
      <c r="B64" s="77">
        <f t="shared" si="4"/>
        <v>46844</v>
      </c>
      <c r="C64" s="83">
        <f t="shared" si="11"/>
        <v>0</v>
      </c>
      <c r="D64" s="84">
        <f t="shared" si="5"/>
        <v>0</v>
      </c>
      <c r="E64" s="84">
        <f t="shared" si="6"/>
        <v>0</v>
      </c>
      <c r="F64" s="84">
        <f t="shared" si="7"/>
        <v>0</v>
      </c>
      <c r="G64" s="84">
        <f t="shared" si="12"/>
        <v>0</v>
      </c>
      <c r="H64" s="83">
        <f t="shared" si="8"/>
        <v>0</v>
      </c>
      <c r="I64" s="84">
        <f t="shared" si="2"/>
        <v>0</v>
      </c>
      <c r="J64" s="83"/>
      <c r="K64" s="83"/>
      <c r="L64" s="73"/>
      <c r="M64" s="91">
        <f t="shared" si="3"/>
        <v>0</v>
      </c>
      <c r="N64" s="84">
        <f t="shared" si="9"/>
        <v>0</v>
      </c>
      <c r="O64" s="73"/>
      <c r="P64" s="73"/>
    </row>
    <row r="65" spans="1:16">
      <c r="A65" s="83">
        <v>46</v>
      </c>
      <c r="B65" s="77">
        <f t="shared" si="4"/>
        <v>46874</v>
      </c>
      <c r="C65" s="83">
        <f t="shared" si="11"/>
        <v>0</v>
      </c>
      <c r="D65" s="84">
        <f t="shared" si="5"/>
        <v>0</v>
      </c>
      <c r="E65" s="84">
        <f t="shared" si="6"/>
        <v>0</v>
      </c>
      <c r="F65" s="84">
        <f t="shared" si="7"/>
        <v>0</v>
      </c>
      <c r="G65" s="84">
        <f t="shared" si="12"/>
        <v>0</v>
      </c>
      <c r="H65" s="83">
        <f t="shared" si="8"/>
        <v>0</v>
      </c>
      <c r="I65" s="84">
        <f t="shared" si="2"/>
        <v>0</v>
      </c>
      <c r="J65" s="83"/>
      <c r="K65" s="83"/>
      <c r="L65" s="73"/>
      <c r="M65" s="91">
        <f t="shared" si="3"/>
        <v>0</v>
      </c>
      <c r="N65" s="84">
        <f t="shared" si="9"/>
        <v>0</v>
      </c>
      <c r="O65" s="73"/>
      <c r="P65" s="73"/>
    </row>
    <row r="66" spans="1:16">
      <c r="A66" s="83">
        <v>47</v>
      </c>
      <c r="B66" s="77">
        <f t="shared" si="4"/>
        <v>46905</v>
      </c>
      <c r="C66" s="83">
        <f t="shared" si="11"/>
        <v>0</v>
      </c>
      <c r="D66" s="84">
        <f t="shared" si="5"/>
        <v>0</v>
      </c>
      <c r="E66" s="84">
        <f t="shared" si="6"/>
        <v>0</v>
      </c>
      <c r="F66" s="84">
        <f t="shared" si="7"/>
        <v>0</v>
      </c>
      <c r="G66" s="84">
        <f t="shared" si="12"/>
        <v>0</v>
      </c>
      <c r="H66" s="83">
        <f t="shared" si="8"/>
        <v>0</v>
      </c>
      <c r="I66" s="84">
        <f t="shared" si="2"/>
        <v>0</v>
      </c>
      <c r="J66" s="83"/>
      <c r="K66" s="83"/>
      <c r="L66" s="73"/>
      <c r="M66" s="91">
        <f t="shared" si="3"/>
        <v>0</v>
      </c>
      <c r="N66" s="84">
        <f t="shared" si="9"/>
        <v>0</v>
      </c>
      <c r="O66" s="73"/>
      <c r="P66" s="73"/>
    </row>
    <row r="67" spans="1:16">
      <c r="A67" s="83">
        <v>48</v>
      </c>
      <c r="B67" s="77">
        <f t="shared" si="4"/>
        <v>46935</v>
      </c>
      <c r="C67" s="83">
        <f t="shared" si="11"/>
        <v>0</v>
      </c>
      <c r="D67" s="84">
        <f t="shared" si="5"/>
        <v>0</v>
      </c>
      <c r="E67" s="84">
        <f t="shared" si="6"/>
        <v>0</v>
      </c>
      <c r="F67" s="84">
        <f t="shared" si="7"/>
        <v>0</v>
      </c>
      <c r="G67" s="84">
        <f t="shared" si="12"/>
        <v>0</v>
      </c>
      <c r="H67" s="83">
        <f t="shared" si="8"/>
        <v>0</v>
      </c>
      <c r="I67" s="84">
        <f t="shared" si="2"/>
        <v>0</v>
      </c>
      <c r="J67" s="83"/>
      <c r="K67" s="83"/>
      <c r="L67" s="73"/>
      <c r="M67" s="91">
        <f t="shared" si="3"/>
        <v>0</v>
      </c>
      <c r="N67" s="84">
        <f t="shared" si="9"/>
        <v>0</v>
      </c>
      <c r="O67" s="73"/>
      <c r="P67" s="73"/>
    </row>
    <row r="68" spans="1:16">
      <c r="A68" s="83">
        <v>49</v>
      </c>
      <c r="B68" s="77">
        <f t="shared" si="4"/>
        <v>46966</v>
      </c>
      <c r="C68" s="83">
        <f t="shared" si="11"/>
        <v>0</v>
      </c>
      <c r="D68" s="84">
        <f t="shared" si="5"/>
        <v>0</v>
      </c>
      <c r="E68" s="84">
        <f t="shared" si="6"/>
        <v>0</v>
      </c>
      <c r="F68" s="84">
        <f t="shared" si="7"/>
        <v>0</v>
      </c>
      <c r="G68" s="84">
        <f t="shared" si="12"/>
        <v>0</v>
      </c>
      <c r="H68" s="83">
        <f t="shared" si="8"/>
        <v>0</v>
      </c>
      <c r="I68" s="84">
        <f t="shared" si="2"/>
        <v>0</v>
      </c>
      <c r="J68" s="83"/>
      <c r="K68" s="83"/>
      <c r="L68" s="73"/>
      <c r="M68" s="91">
        <f t="shared" si="3"/>
        <v>0</v>
      </c>
      <c r="N68" s="84">
        <f t="shared" si="9"/>
        <v>0</v>
      </c>
      <c r="O68" s="73"/>
      <c r="P68" s="73"/>
    </row>
    <row r="69" spans="1:16">
      <c r="A69" s="83">
        <v>50</v>
      </c>
      <c r="B69" s="77">
        <f t="shared" si="4"/>
        <v>46997</v>
      </c>
      <c r="C69" s="83">
        <f t="shared" si="11"/>
        <v>0</v>
      </c>
      <c r="D69" s="84">
        <f t="shared" si="5"/>
        <v>0</v>
      </c>
      <c r="E69" s="84">
        <f t="shared" si="6"/>
        <v>0</v>
      </c>
      <c r="F69" s="84">
        <f t="shared" si="7"/>
        <v>0</v>
      </c>
      <c r="G69" s="84">
        <f t="shared" si="12"/>
        <v>0</v>
      </c>
      <c r="H69" s="83">
        <f t="shared" si="8"/>
        <v>0</v>
      </c>
      <c r="I69" s="84">
        <f t="shared" si="2"/>
        <v>0</v>
      </c>
      <c r="J69" s="83"/>
      <c r="K69" s="83"/>
      <c r="L69" s="73"/>
      <c r="M69" s="91">
        <f t="shared" si="3"/>
        <v>0</v>
      </c>
      <c r="N69" s="84">
        <f t="shared" si="9"/>
        <v>0</v>
      </c>
      <c r="O69" s="73"/>
      <c r="P69" s="73"/>
    </row>
    <row r="70" spans="1:16">
      <c r="A70" s="83">
        <v>51</v>
      </c>
      <c r="B70" s="77">
        <f t="shared" si="4"/>
        <v>47027</v>
      </c>
      <c r="C70" s="83">
        <f t="shared" si="11"/>
        <v>0</v>
      </c>
      <c r="D70" s="84">
        <f t="shared" si="5"/>
        <v>0</v>
      </c>
      <c r="E70" s="84">
        <f t="shared" si="6"/>
        <v>0</v>
      </c>
      <c r="F70" s="84">
        <f t="shared" si="7"/>
        <v>0</v>
      </c>
      <c r="G70" s="84">
        <f t="shared" si="12"/>
        <v>0</v>
      </c>
      <c r="H70" s="83">
        <f t="shared" si="8"/>
        <v>0</v>
      </c>
      <c r="I70" s="84">
        <f t="shared" si="2"/>
        <v>0</v>
      </c>
      <c r="J70" s="83"/>
      <c r="K70" s="83"/>
      <c r="L70" s="73"/>
      <c r="M70" s="91">
        <f t="shared" si="3"/>
        <v>0</v>
      </c>
      <c r="N70" s="84">
        <f t="shared" si="9"/>
        <v>0</v>
      </c>
      <c r="O70" s="73"/>
      <c r="P70" s="73"/>
    </row>
    <row r="71" spans="1:16">
      <c r="A71" s="83">
        <v>52</v>
      </c>
      <c r="B71" s="77">
        <f t="shared" si="4"/>
        <v>47058</v>
      </c>
      <c r="C71" s="83">
        <f t="shared" si="11"/>
        <v>0</v>
      </c>
      <c r="D71" s="84">
        <f t="shared" si="5"/>
        <v>0</v>
      </c>
      <c r="E71" s="84">
        <f t="shared" si="6"/>
        <v>0</v>
      </c>
      <c r="F71" s="84">
        <f t="shared" si="7"/>
        <v>0</v>
      </c>
      <c r="G71" s="84">
        <f t="shared" si="12"/>
        <v>0</v>
      </c>
      <c r="H71" s="83">
        <f t="shared" si="8"/>
        <v>0</v>
      </c>
      <c r="I71" s="84">
        <f t="shared" si="2"/>
        <v>0</v>
      </c>
      <c r="J71" s="83"/>
      <c r="K71" s="83"/>
      <c r="L71" s="73">
        <v>0</v>
      </c>
      <c r="M71" s="91">
        <f t="shared" si="3"/>
        <v>0</v>
      </c>
      <c r="N71" s="84">
        <f t="shared" si="9"/>
        <v>0</v>
      </c>
      <c r="O71" s="73"/>
      <c r="P71" s="73"/>
    </row>
    <row r="72" spans="1:16">
      <c r="A72" s="83">
        <v>53</v>
      </c>
      <c r="B72" s="77">
        <f t="shared" si="4"/>
        <v>47088</v>
      </c>
      <c r="C72" s="83">
        <f t="shared" si="11"/>
        <v>0</v>
      </c>
      <c r="D72" s="84">
        <f t="shared" si="5"/>
        <v>0</v>
      </c>
      <c r="E72" s="84">
        <f t="shared" si="6"/>
        <v>0</v>
      </c>
      <c r="F72" s="84">
        <f t="shared" si="7"/>
        <v>0</v>
      </c>
      <c r="G72" s="84">
        <f t="shared" si="12"/>
        <v>0</v>
      </c>
      <c r="H72" s="83">
        <f t="shared" si="8"/>
        <v>0</v>
      </c>
      <c r="I72" s="84">
        <f t="shared" si="2"/>
        <v>0</v>
      </c>
      <c r="J72" s="83"/>
      <c r="K72" s="83"/>
      <c r="L72" s="73"/>
      <c r="M72" s="91">
        <f t="shared" si="3"/>
        <v>0</v>
      </c>
      <c r="N72" s="84">
        <f t="shared" si="9"/>
        <v>0</v>
      </c>
      <c r="O72" s="73"/>
      <c r="P72" s="73"/>
    </row>
    <row r="73" spans="1:16">
      <c r="A73" s="83">
        <v>54</v>
      </c>
      <c r="B73" s="77">
        <f t="shared" si="4"/>
        <v>47119</v>
      </c>
      <c r="C73" s="83">
        <f t="shared" si="11"/>
        <v>0</v>
      </c>
      <c r="D73" s="84">
        <f t="shared" si="5"/>
        <v>0</v>
      </c>
      <c r="E73" s="84">
        <f t="shared" si="6"/>
        <v>0</v>
      </c>
      <c r="F73" s="84">
        <f t="shared" si="7"/>
        <v>0</v>
      </c>
      <c r="G73" s="84">
        <f t="shared" si="12"/>
        <v>0</v>
      </c>
      <c r="H73" s="83">
        <f t="shared" si="8"/>
        <v>0</v>
      </c>
      <c r="I73" s="84">
        <f t="shared" si="2"/>
        <v>0</v>
      </c>
      <c r="J73" s="83"/>
      <c r="K73" s="83"/>
      <c r="L73" s="73"/>
      <c r="M73" s="91">
        <f t="shared" si="3"/>
        <v>0</v>
      </c>
      <c r="N73" s="84">
        <f t="shared" si="9"/>
        <v>0</v>
      </c>
      <c r="O73" s="73"/>
      <c r="P73" s="73"/>
    </row>
    <row r="74" spans="1:16">
      <c r="A74" s="83">
        <v>55</v>
      </c>
      <c r="B74" s="77">
        <f t="shared" si="4"/>
        <v>47150</v>
      </c>
      <c r="C74" s="83">
        <f t="shared" si="11"/>
        <v>0</v>
      </c>
      <c r="D74" s="84">
        <f t="shared" si="5"/>
        <v>0</v>
      </c>
      <c r="E74" s="84">
        <f t="shared" si="6"/>
        <v>0</v>
      </c>
      <c r="F74" s="84">
        <f t="shared" si="7"/>
        <v>0</v>
      </c>
      <c r="G74" s="84">
        <f t="shared" si="12"/>
        <v>0</v>
      </c>
      <c r="H74" s="83">
        <f t="shared" si="8"/>
        <v>0</v>
      </c>
      <c r="I74" s="84">
        <f t="shared" si="2"/>
        <v>0</v>
      </c>
      <c r="J74" s="83"/>
      <c r="K74" s="83"/>
      <c r="L74" s="73"/>
      <c r="M74" s="91">
        <f t="shared" si="3"/>
        <v>0</v>
      </c>
      <c r="N74" s="84">
        <f t="shared" si="9"/>
        <v>0</v>
      </c>
      <c r="O74" s="73"/>
      <c r="P74" s="73"/>
    </row>
    <row r="75" spans="1:16">
      <c r="A75" s="83">
        <v>56</v>
      </c>
      <c r="B75" s="77">
        <f t="shared" si="4"/>
        <v>47178</v>
      </c>
      <c r="C75" s="83">
        <f t="shared" si="11"/>
        <v>0</v>
      </c>
      <c r="D75" s="84">
        <f t="shared" si="5"/>
        <v>0</v>
      </c>
      <c r="E75" s="84">
        <f t="shared" si="6"/>
        <v>0</v>
      </c>
      <c r="F75" s="84">
        <f t="shared" si="7"/>
        <v>0</v>
      </c>
      <c r="G75" s="84">
        <f t="shared" si="12"/>
        <v>0</v>
      </c>
      <c r="H75" s="83">
        <f t="shared" si="8"/>
        <v>0</v>
      </c>
      <c r="I75" s="84">
        <f t="shared" si="2"/>
        <v>0</v>
      </c>
      <c r="J75" s="83"/>
      <c r="K75" s="83"/>
      <c r="L75" s="73"/>
      <c r="M75" s="91">
        <f t="shared" si="3"/>
        <v>0</v>
      </c>
      <c r="N75" s="84">
        <f t="shared" si="9"/>
        <v>0</v>
      </c>
      <c r="O75" s="73"/>
      <c r="P75" s="73"/>
    </row>
    <row r="76" spans="1:16">
      <c r="A76" s="83">
        <v>57</v>
      </c>
      <c r="B76" s="77">
        <f t="shared" si="4"/>
        <v>47209</v>
      </c>
      <c r="C76" s="83">
        <f t="shared" si="11"/>
        <v>0</v>
      </c>
      <c r="D76" s="84">
        <f t="shared" si="5"/>
        <v>0</v>
      </c>
      <c r="E76" s="84">
        <f t="shared" si="6"/>
        <v>0</v>
      </c>
      <c r="F76" s="84">
        <f t="shared" si="7"/>
        <v>0</v>
      </c>
      <c r="G76" s="84">
        <f t="shared" si="12"/>
        <v>0</v>
      </c>
      <c r="H76" s="83">
        <f t="shared" si="8"/>
        <v>0</v>
      </c>
      <c r="I76" s="84">
        <f t="shared" si="2"/>
        <v>0</v>
      </c>
      <c r="J76" s="83"/>
      <c r="K76" s="83"/>
      <c r="L76" s="73"/>
      <c r="M76" s="91">
        <f t="shared" si="3"/>
        <v>0</v>
      </c>
      <c r="N76" s="84">
        <f t="shared" si="9"/>
        <v>0</v>
      </c>
      <c r="O76" s="73"/>
      <c r="P76" s="73"/>
    </row>
    <row r="77" spans="1:16">
      <c r="A77" s="83">
        <v>58</v>
      </c>
      <c r="B77" s="77">
        <f t="shared" si="4"/>
        <v>47239</v>
      </c>
      <c r="C77" s="83">
        <f t="shared" si="11"/>
        <v>0</v>
      </c>
      <c r="D77" s="84">
        <f t="shared" si="5"/>
        <v>0</v>
      </c>
      <c r="E77" s="84">
        <f t="shared" si="6"/>
        <v>0</v>
      </c>
      <c r="F77" s="84">
        <f t="shared" si="7"/>
        <v>0</v>
      </c>
      <c r="G77" s="84">
        <f t="shared" si="12"/>
        <v>0</v>
      </c>
      <c r="H77" s="83">
        <f t="shared" si="8"/>
        <v>0</v>
      </c>
      <c r="I77" s="84">
        <f t="shared" si="2"/>
        <v>0</v>
      </c>
      <c r="J77" s="83"/>
      <c r="K77" s="83"/>
      <c r="L77" s="73"/>
      <c r="M77" s="91">
        <f t="shared" si="3"/>
        <v>0</v>
      </c>
      <c r="N77" s="84">
        <f t="shared" si="9"/>
        <v>0</v>
      </c>
      <c r="O77" s="73"/>
      <c r="P77" s="73"/>
    </row>
    <row r="78" spans="1:16">
      <c r="A78" s="83">
        <v>59</v>
      </c>
      <c r="B78" s="77">
        <f t="shared" si="4"/>
        <v>47270</v>
      </c>
      <c r="C78" s="83">
        <f t="shared" si="11"/>
        <v>0</v>
      </c>
      <c r="D78" s="84">
        <f t="shared" si="5"/>
        <v>0</v>
      </c>
      <c r="E78" s="84">
        <f t="shared" si="6"/>
        <v>0</v>
      </c>
      <c r="F78" s="84">
        <f t="shared" si="7"/>
        <v>0</v>
      </c>
      <c r="G78" s="84">
        <f t="shared" si="12"/>
        <v>0</v>
      </c>
      <c r="H78" s="83">
        <f t="shared" si="8"/>
        <v>0</v>
      </c>
      <c r="I78" s="84">
        <f t="shared" si="2"/>
        <v>0</v>
      </c>
      <c r="J78" s="83"/>
      <c r="K78" s="83"/>
      <c r="L78" s="73"/>
      <c r="M78" s="91">
        <f t="shared" si="3"/>
        <v>0</v>
      </c>
      <c r="N78" s="84">
        <f t="shared" si="9"/>
        <v>0</v>
      </c>
      <c r="O78" s="73"/>
      <c r="P78" s="73"/>
    </row>
    <row r="79" spans="1:16">
      <c r="A79" s="83">
        <v>60</v>
      </c>
      <c r="B79" s="77">
        <f t="shared" si="4"/>
        <v>47300</v>
      </c>
      <c r="C79" s="83">
        <f t="shared" si="11"/>
        <v>0</v>
      </c>
      <c r="D79" s="84">
        <f t="shared" si="5"/>
        <v>0</v>
      </c>
      <c r="E79" s="84">
        <f t="shared" si="6"/>
        <v>0</v>
      </c>
      <c r="F79" s="84">
        <f t="shared" si="7"/>
        <v>0</v>
      </c>
      <c r="G79" s="84">
        <f t="shared" si="12"/>
        <v>0</v>
      </c>
      <c r="H79" s="83">
        <f t="shared" si="8"/>
        <v>0</v>
      </c>
      <c r="I79" s="84">
        <f t="shared" si="2"/>
        <v>0</v>
      </c>
      <c r="J79" s="83"/>
      <c r="K79" s="83"/>
      <c r="L79" s="73"/>
      <c r="M79" s="91">
        <f t="shared" si="3"/>
        <v>0</v>
      </c>
      <c r="N79" s="84">
        <f t="shared" si="9"/>
        <v>0</v>
      </c>
      <c r="O79" s="73"/>
      <c r="P79" s="73"/>
    </row>
    <row r="80" spans="1:16">
      <c r="A80" s="83">
        <v>61</v>
      </c>
      <c r="B80" s="77">
        <f t="shared" si="4"/>
        <v>47331</v>
      </c>
      <c r="C80" s="83">
        <f t="shared" si="11"/>
        <v>0</v>
      </c>
      <c r="D80" s="84">
        <f t="shared" si="5"/>
        <v>0</v>
      </c>
      <c r="E80" s="84">
        <f t="shared" si="6"/>
        <v>0</v>
      </c>
      <c r="F80" s="84">
        <f t="shared" si="7"/>
        <v>0</v>
      </c>
      <c r="G80" s="84">
        <f t="shared" si="12"/>
        <v>0</v>
      </c>
      <c r="H80" s="83">
        <f t="shared" si="8"/>
        <v>0</v>
      </c>
      <c r="I80" s="84">
        <f t="shared" si="2"/>
        <v>0</v>
      </c>
      <c r="J80" s="83"/>
      <c r="K80" s="83"/>
      <c r="L80" s="73"/>
      <c r="M80" s="91">
        <f t="shared" si="3"/>
        <v>0</v>
      </c>
      <c r="N80" s="84">
        <f t="shared" si="9"/>
        <v>0</v>
      </c>
      <c r="O80" s="73"/>
      <c r="P80" s="73"/>
    </row>
    <row r="81" spans="1:16">
      <c r="A81" s="83">
        <v>62</v>
      </c>
      <c r="B81" s="77">
        <f t="shared" si="4"/>
        <v>47362</v>
      </c>
      <c r="C81" s="83">
        <f t="shared" si="11"/>
        <v>0</v>
      </c>
      <c r="D81" s="84">
        <f t="shared" si="5"/>
        <v>0</v>
      </c>
      <c r="E81" s="84">
        <f t="shared" si="6"/>
        <v>0</v>
      </c>
      <c r="F81" s="84">
        <f t="shared" si="7"/>
        <v>0</v>
      </c>
      <c r="G81" s="84">
        <f t="shared" si="12"/>
        <v>0</v>
      </c>
      <c r="H81" s="83">
        <f t="shared" si="8"/>
        <v>0</v>
      </c>
      <c r="I81" s="84">
        <f t="shared" si="2"/>
        <v>0</v>
      </c>
      <c r="J81" s="83"/>
      <c r="K81" s="83"/>
      <c r="L81" s="73"/>
      <c r="M81" s="91">
        <f t="shared" si="3"/>
        <v>0</v>
      </c>
      <c r="N81" s="84">
        <f t="shared" si="9"/>
        <v>0</v>
      </c>
      <c r="O81" s="73"/>
      <c r="P81" s="73"/>
    </row>
    <row r="82" spans="1:16">
      <c r="A82" s="83">
        <v>63</v>
      </c>
      <c r="B82" s="77">
        <f t="shared" si="4"/>
        <v>47392</v>
      </c>
      <c r="C82" s="83">
        <f t="shared" si="11"/>
        <v>0</v>
      </c>
      <c r="D82" s="84">
        <f t="shared" si="5"/>
        <v>0</v>
      </c>
      <c r="E82" s="84">
        <f t="shared" si="6"/>
        <v>0</v>
      </c>
      <c r="F82" s="84">
        <f t="shared" si="7"/>
        <v>0</v>
      </c>
      <c r="G82" s="84">
        <f t="shared" si="12"/>
        <v>0</v>
      </c>
      <c r="H82" s="83">
        <f t="shared" si="8"/>
        <v>0</v>
      </c>
      <c r="I82" s="84">
        <f t="shared" si="2"/>
        <v>0</v>
      </c>
      <c r="J82" s="83"/>
      <c r="K82" s="83"/>
      <c r="L82" s="73"/>
      <c r="M82" s="91">
        <f t="shared" si="3"/>
        <v>0</v>
      </c>
      <c r="N82" s="84">
        <f t="shared" si="9"/>
        <v>0</v>
      </c>
      <c r="O82" s="73"/>
      <c r="P82" s="73"/>
    </row>
    <row r="83" spans="1:16">
      <c r="A83" s="83">
        <v>64</v>
      </c>
      <c r="B83" s="77">
        <f t="shared" si="4"/>
        <v>47423</v>
      </c>
      <c r="C83" s="83">
        <f t="shared" si="11"/>
        <v>0</v>
      </c>
      <c r="D83" s="84">
        <f t="shared" si="5"/>
        <v>0</v>
      </c>
      <c r="E83" s="84">
        <f t="shared" si="6"/>
        <v>0</v>
      </c>
      <c r="F83" s="84">
        <f t="shared" si="7"/>
        <v>0</v>
      </c>
      <c r="G83" s="84">
        <f t="shared" si="12"/>
        <v>0</v>
      </c>
      <c r="H83" s="83">
        <f t="shared" si="8"/>
        <v>0</v>
      </c>
      <c r="I83" s="84">
        <f t="shared" si="2"/>
        <v>0</v>
      </c>
      <c r="J83" s="83"/>
      <c r="K83" s="83"/>
      <c r="L83" s="73"/>
      <c r="M83" s="91">
        <f t="shared" si="3"/>
        <v>0</v>
      </c>
      <c r="N83" s="84">
        <f t="shared" si="9"/>
        <v>0</v>
      </c>
      <c r="O83" s="73"/>
      <c r="P83" s="73"/>
    </row>
    <row r="84" spans="1:16">
      <c r="A84" s="83">
        <v>65</v>
      </c>
      <c r="B84" s="77">
        <f t="shared" si="4"/>
        <v>47453</v>
      </c>
      <c r="C84" s="83">
        <f t="shared" si="11"/>
        <v>0</v>
      </c>
      <c r="D84" s="84">
        <f t="shared" si="5"/>
        <v>0</v>
      </c>
      <c r="E84" s="84">
        <f t="shared" si="6"/>
        <v>0</v>
      </c>
      <c r="F84" s="84">
        <f t="shared" si="7"/>
        <v>0</v>
      </c>
      <c r="G84" s="84">
        <f t="shared" si="12"/>
        <v>0</v>
      </c>
      <c r="H84" s="83">
        <f t="shared" si="8"/>
        <v>0</v>
      </c>
      <c r="I84" s="84">
        <f t="shared" ref="I84:I103" si="13">C84*20/120</f>
        <v>0</v>
      </c>
      <c r="J84" s="83"/>
      <c r="K84" s="83"/>
      <c r="L84" s="73"/>
      <c r="M84" s="91">
        <f t="shared" ref="M84:M103" si="14">SUM(C84,D84,G84,J84,K84,L84)</f>
        <v>0</v>
      </c>
      <c r="N84" s="84">
        <f t="shared" si="9"/>
        <v>0</v>
      </c>
      <c r="O84" s="73"/>
      <c r="P84" s="73"/>
    </row>
    <row r="85" spans="1:16">
      <c r="A85" s="83">
        <v>66</v>
      </c>
      <c r="B85" s="77">
        <f t="shared" ref="B85:B103" si="15">EOMONTH(B84,0)+DAY(B84)</f>
        <v>47484</v>
      </c>
      <c r="C85" s="83">
        <f t="shared" si="11"/>
        <v>0</v>
      </c>
      <c r="D85" s="84">
        <f t="shared" ref="D85:D103" si="16">IF(A85&lt;=$F$7,IF($F$11=$I$9,$F$5*$F$12,N84*$F$13/12),0)+-IF(AND(A85&lt;=$M$9,$M$9&lt;&gt;0),$J$19/$M$9,0)+-IF(AND(A85&lt;=$M$10,$M$10&lt;&gt;0),$K$19/$M$10,0)</f>
        <v>0</v>
      </c>
      <c r="E85" s="84">
        <f t="shared" ref="E85:E99" si="17">IF($R$16="ЮЛ",D85*0.2,0)</f>
        <v>0</v>
      </c>
      <c r="F85" s="84">
        <f t="shared" ref="F85:F90" si="18">IF(AND(A85&lt;=$F$7,$S$16="ДА"),($F$5*VLOOKUP(ROUNDUP(A85/12,0),$O$7:$Q$13,3,0)/12),0)</f>
        <v>0</v>
      </c>
      <c r="G85" s="84">
        <f t="shared" si="12"/>
        <v>0</v>
      </c>
      <c r="H85" s="83">
        <f t="shared" ref="H85:H103" si="19">SUM(C85:G85)+SUM(C85:G85)*$F$14</f>
        <v>0</v>
      </c>
      <c r="I85" s="84">
        <f t="shared" si="13"/>
        <v>0</v>
      </c>
      <c r="J85" s="83"/>
      <c r="K85" s="83"/>
      <c r="L85" s="73"/>
      <c r="M85" s="91">
        <f t="shared" si="14"/>
        <v>0</v>
      </c>
      <c r="N85" s="84">
        <f t="shared" ref="N85:N103" si="20">N84-C85</f>
        <v>0</v>
      </c>
      <c r="O85" s="73"/>
      <c r="P85" s="73"/>
    </row>
    <row r="86" spans="1:16">
      <c r="A86" s="83">
        <v>67</v>
      </c>
      <c r="B86" s="77">
        <f t="shared" si="15"/>
        <v>47515</v>
      </c>
      <c r="C86" s="83">
        <f t="shared" si="11"/>
        <v>0</v>
      </c>
      <c r="D86" s="84">
        <f t="shared" si="16"/>
        <v>0</v>
      </c>
      <c r="E86" s="84">
        <f t="shared" si="17"/>
        <v>0</v>
      </c>
      <c r="F86" s="84">
        <f t="shared" si="18"/>
        <v>0</v>
      </c>
      <c r="G86" s="84">
        <f t="shared" si="12"/>
        <v>0</v>
      </c>
      <c r="H86" s="83">
        <f t="shared" si="19"/>
        <v>0</v>
      </c>
      <c r="I86" s="84">
        <f t="shared" si="13"/>
        <v>0</v>
      </c>
      <c r="J86" s="83"/>
      <c r="K86" s="83"/>
      <c r="L86" s="73"/>
      <c r="M86" s="91">
        <f t="shared" si="14"/>
        <v>0</v>
      </c>
      <c r="N86" s="84">
        <f t="shared" si="20"/>
        <v>0</v>
      </c>
      <c r="O86" s="73"/>
      <c r="P86" s="73"/>
    </row>
    <row r="87" spans="1:16">
      <c r="A87" s="83">
        <v>68</v>
      </c>
      <c r="B87" s="77">
        <f t="shared" si="15"/>
        <v>47543</v>
      </c>
      <c r="C87" s="83">
        <f t="shared" si="11"/>
        <v>0</v>
      </c>
      <c r="D87" s="84">
        <f t="shared" si="16"/>
        <v>0</v>
      </c>
      <c r="E87" s="84">
        <f t="shared" si="17"/>
        <v>0</v>
      </c>
      <c r="F87" s="84">
        <f t="shared" si="18"/>
        <v>0</v>
      </c>
      <c r="G87" s="84">
        <f t="shared" si="12"/>
        <v>0</v>
      </c>
      <c r="H87" s="83">
        <f t="shared" si="19"/>
        <v>0</v>
      </c>
      <c r="I87" s="84">
        <f t="shared" si="13"/>
        <v>0</v>
      </c>
      <c r="J87" s="83"/>
      <c r="K87" s="83"/>
      <c r="L87" s="73"/>
      <c r="M87" s="91">
        <f t="shared" si="14"/>
        <v>0</v>
      </c>
      <c r="N87" s="84">
        <f t="shared" si="20"/>
        <v>0</v>
      </c>
      <c r="O87" s="73"/>
      <c r="P87" s="73"/>
    </row>
    <row r="88" spans="1:16">
      <c r="A88" s="83">
        <v>69</v>
      </c>
      <c r="B88" s="77">
        <f t="shared" si="15"/>
        <v>47574</v>
      </c>
      <c r="C88" s="83">
        <f t="shared" si="11"/>
        <v>0</v>
      </c>
      <c r="D88" s="84">
        <f t="shared" si="16"/>
        <v>0</v>
      </c>
      <c r="E88" s="84">
        <f t="shared" si="17"/>
        <v>0</v>
      </c>
      <c r="F88" s="84">
        <f t="shared" si="18"/>
        <v>0</v>
      </c>
      <c r="G88" s="84">
        <f t="shared" si="12"/>
        <v>0</v>
      </c>
      <c r="H88" s="83">
        <f t="shared" si="19"/>
        <v>0</v>
      </c>
      <c r="I88" s="84">
        <f t="shared" si="13"/>
        <v>0</v>
      </c>
      <c r="J88" s="83"/>
      <c r="K88" s="83"/>
      <c r="L88" s="73"/>
      <c r="M88" s="91">
        <f t="shared" si="14"/>
        <v>0</v>
      </c>
      <c r="N88" s="84">
        <f t="shared" si="20"/>
        <v>0</v>
      </c>
      <c r="O88" s="73"/>
      <c r="P88" s="73"/>
    </row>
    <row r="89" spans="1:16">
      <c r="A89" s="83">
        <v>70</v>
      </c>
      <c r="B89" s="77">
        <f t="shared" si="15"/>
        <v>47604</v>
      </c>
      <c r="C89" s="83">
        <f t="shared" si="11"/>
        <v>0</v>
      </c>
      <c r="D89" s="84">
        <f t="shared" si="16"/>
        <v>0</v>
      </c>
      <c r="E89" s="84">
        <f t="shared" si="17"/>
        <v>0</v>
      </c>
      <c r="F89" s="84">
        <f t="shared" si="18"/>
        <v>0</v>
      </c>
      <c r="G89" s="84">
        <f t="shared" si="12"/>
        <v>0</v>
      </c>
      <c r="H89" s="83">
        <f t="shared" si="19"/>
        <v>0</v>
      </c>
      <c r="I89" s="84">
        <f t="shared" si="13"/>
        <v>0</v>
      </c>
      <c r="J89" s="83"/>
      <c r="K89" s="83"/>
      <c r="L89" s="73"/>
      <c r="M89" s="91">
        <f t="shared" si="14"/>
        <v>0</v>
      </c>
      <c r="N89" s="84">
        <f t="shared" si="20"/>
        <v>0</v>
      </c>
      <c r="O89" s="73"/>
      <c r="P89" s="73"/>
    </row>
    <row r="90" spans="1:16">
      <c r="A90" s="83">
        <v>71</v>
      </c>
      <c r="B90" s="77">
        <f t="shared" si="15"/>
        <v>47635</v>
      </c>
      <c r="C90" s="83">
        <f t="shared" si="11"/>
        <v>0</v>
      </c>
      <c r="D90" s="84">
        <f t="shared" si="16"/>
        <v>0</v>
      </c>
      <c r="E90" s="84">
        <f t="shared" si="17"/>
        <v>0</v>
      </c>
      <c r="F90" s="84">
        <f t="shared" si="18"/>
        <v>0</v>
      </c>
      <c r="G90" s="84">
        <f t="shared" si="12"/>
        <v>0</v>
      </c>
      <c r="H90" s="83">
        <f t="shared" si="19"/>
        <v>0</v>
      </c>
      <c r="I90" s="84">
        <f t="shared" si="13"/>
        <v>0</v>
      </c>
      <c r="J90" s="83"/>
      <c r="K90" s="83"/>
      <c r="L90" s="73"/>
      <c r="M90" s="91">
        <f t="shared" si="14"/>
        <v>0</v>
      </c>
      <c r="N90" s="84">
        <f t="shared" si="20"/>
        <v>0</v>
      </c>
      <c r="O90" s="73"/>
      <c r="P90" s="73"/>
    </row>
    <row r="91" spans="1:16">
      <c r="A91" s="83">
        <v>72</v>
      </c>
      <c r="B91" s="77">
        <f t="shared" si="15"/>
        <v>47665</v>
      </c>
      <c r="C91" s="83">
        <f t="shared" si="11"/>
        <v>0</v>
      </c>
      <c r="D91" s="84">
        <f t="shared" si="16"/>
        <v>0</v>
      </c>
      <c r="E91" s="84">
        <f t="shared" si="17"/>
        <v>0</v>
      </c>
      <c r="F91" s="84">
        <f t="shared" ref="F91:F103" si="21">IF(A91&lt;=$F$7,$F$5*VLOOKUP(ROUNDUP(A91/12,0),$O$7:$Q$13,3,0)/12,0)</f>
        <v>0</v>
      </c>
      <c r="G91" s="84">
        <f t="shared" si="12"/>
        <v>0</v>
      </c>
      <c r="H91" s="83">
        <f t="shared" si="19"/>
        <v>0</v>
      </c>
      <c r="I91" s="84">
        <f t="shared" si="13"/>
        <v>0</v>
      </c>
      <c r="J91" s="83"/>
      <c r="K91" s="83"/>
      <c r="L91" s="73"/>
      <c r="M91" s="91">
        <f t="shared" si="14"/>
        <v>0</v>
      </c>
      <c r="N91" s="84">
        <f t="shared" si="20"/>
        <v>0</v>
      </c>
      <c r="O91" s="73"/>
      <c r="P91" s="73"/>
    </row>
    <row r="92" spans="1:16">
      <c r="A92" s="83">
        <v>73</v>
      </c>
      <c r="B92" s="77">
        <f t="shared" si="15"/>
        <v>47696</v>
      </c>
      <c r="C92" s="83">
        <f t="shared" si="11"/>
        <v>0</v>
      </c>
      <c r="D92" s="84">
        <f t="shared" si="16"/>
        <v>0</v>
      </c>
      <c r="E92" s="84">
        <f t="shared" si="17"/>
        <v>0</v>
      </c>
      <c r="F92" s="84">
        <f t="shared" si="21"/>
        <v>0</v>
      </c>
      <c r="G92" s="84">
        <f t="shared" si="12"/>
        <v>0</v>
      </c>
      <c r="H92" s="83">
        <f t="shared" si="19"/>
        <v>0</v>
      </c>
      <c r="I92" s="84">
        <f t="shared" si="13"/>
        <v>0</v>
      </c>
      <c r="J92" s="83"/>
      <c r="K92" s="83"/>
      <c r="L92" s="73"/>
      <c r="M92" s="91">
        <f t="shared" si="14"/>
        <v>0</v>
      </c>
      <c r="N92" s="84">
        <f t="shared" si="20"/>
        <v>0</v>
      </c>
      <c r="O92" s="73"/>
      <c r="P92" s="73"/>
    </row>
    <row r="93" spans="1:16">
      <c r="A93" s="83">
        <v>74</v>
      </c>
      <c r="B93" s="77">
        <f t="shared" si="15"/>
        <v>47727</v>
      </c>
      <c r="C93" s="83">
        <f t="shared" si="11"/>
        <v>0</v>
      </c>
      <c r="D93" s="84">
        <f t="shared" si="16"/>
        <v>0</v>
      </c>
      <c r="E93" s="84">
        <f t="shared" si="17"/>
        <v>0</v>
      </c>
      <c r="F93" s="84">
        <f t="shared" si="21"/>
        <v>0</v>
      </c>
      <c r="G93" s="84">
        <f t="shared" si="12"/>
        <v>0</v>
      </c>
      <c r="H93" s="83">
        <f t="shared" si="19"/>
        <v>0</v>
      </c>
      <c r="I93" s="84">
        <f t="shared" si="13"/>
        <v>0</v>
      </c>
      <c r="J93" s="83"/>
      <c r="K93" s="83"/>
      <c r="L93" s="73"/>
      <c r="M93" s="91">
        <f t="shared" si="14"/>
        <v>0</v>
      </c>
      <c r="N93" s="84">
        <f t="shared" si="20"/>
        <v>0</v>
      </c>
      <c r="O93" s="73"/>
      <c r="P93" s="73"/>
    </row>
    <row r="94" spans="1:16">
      <c r="A94" s="83">
        <v>75</v>
      </c>
      <c r="B94" s="77">
        <f t="shared" si="15"/>
        <v>47757</v>
      </c>
      <c r="C94" s="83">
        <f t="shared" si="11"/>
        <v>0</v>
      </c>
      <c r="D94" s="84">
        <f t="shared" si="16"/>
        <v>0</v>
      </c>
      <c r="E94" s="84">
        <f t="shared" si="17"/>
        <v>0</v>
      </c>
      <c r="F94" s="84">
        <f t="shared" si="21"/>
        <v>0</v>
      </c>
      <c r="G94" s="84">
        <f t="shared" si="12"/>
        <v>0</v>
      </c>
      <c r="H94" s="83">
        <f t="shared" si="19"/>
        <v>0</v>
      </c>
      <c r="I94" s="84">
        <f t="shared" si="13"/>
        <v>0</v>
      </c>
      <c r="J94" s="83"/>
      <c r="K94" s="83"/>
      <c r="L94" s="73"/>
      <c r="M94" s="91">
        <f t="shared" si="14"/>
        <v>0</v>
      </c>
      <c r="N94" s="84">
        <f t="shared" si="20"/>
        <v>0</v>
      </c>
      <c r="O94" s="73"/>
      <c r="P94" s="73"/>
    </row>
    <row r="95" spans="1:16">
      <c r="A95" s="83">
        <v>76</v>
      </c>
      <c r="B95" s="77">
        <f t="shared" si="15"/>
        <v>47788</v>
      </c>
      <c r="C95" s="83">
        <f t="shared" si="11"/>
        <v>0</v>
      </c>
      <c r="D95" s="84">
        <f t="shared" si="16"/>
        <v>0</v>
      </c>
      <c r="E95" s="84">
        <f t="shared" si="17"/>
        <v>0</v>
      </c>
      <c r="F95" s="84">
        <f t="shared" si="21"/>
        <v>0</v>
      </c>
      <c r="G95" s="84">
        <f t="shared" si="12"/>
        <v>0</v>
      </c>
      <c r="H95" s="83">
        <f t="shared" si="19"/>
        <v>0</v>
      </c>
      <c r="I95" s="84">
        <f t="shared" si="13"/>
        <v>0</v>
      </c>
      <c r="J95" s="83"/>
      <c r="K95" s="83"/>
      <c r="L95" s="73"/>
      <c r="M95" s="91">
        <f t="shared" si="14"/>
        <v>0</v>
      </c>
      <c r="N95" s="84">
        <f t="shared" si="20"/>
        <v>0</v>
      </c>
      <c r="O95" s="73"/>
      <c r="P95" s="73"/>
    </row>
    <row r="96" spans="1:16">
      <c r="A96" s="83">
        <v>77</v>
      </c>
      <c r="B96" s="77">
        <f t="shared" si="15"/>
        <v>47818</v>
      </c>
      <c r="C96" s="83">
        <f t="shared" ref="C96:C103" si="22">IF(A96&lt;=$F$7,(IF($F$6&lt;=40%,IF($F$9=$I$6,(-$C$19-$F$5*$K$13)/$F$7+IF(A96=$F$7,$F$5*$K$13,0),MINA(((N95-$F$5*$K$13)/($F$7-A96+1)*$F$10),(N95-$F$5*$K$13))+IF(A96=$F$7,$F$5*$K$13,0)),IF(A96=1,F81*(F82-40%),IF($F$9=$I$6,(-$C$19-$F$5*$K$13)/$F$7+IF(A96=$F$7,$F$5*$K$13,0),MINA(((N95-$F$5*$K$13)/($F$7-A96+1)*$F$10),(N95-$F$5*$K$13))+IF(A96=$F$7,$F$5*$K$13,0))))),0)</f>
        <v>0</v>
      </c>
      <c r="D96" s="84">
        <f t="shared" si="16"/>
        <v>0</v>
      </c>
      <c r="E96" s="84">
        <f t="shared" si="17"/>
        <v>0</v>
      </c>
      <c r="F96" s="84">
        <f t="shared" si="21"/>
        <v>0</v>
      </c>
      <c r="G96" s="84">
        <f t="shared" ref="G96:G103" si="23">IF(A96&lt;=$F$7,$F$5*VLOOKUP(ROUNDUP(A96/12,0),$O$7:$R$13,4,0)/12,0)-F96</f>
        <v>0</v>
      </c>
      <c r="H96" s="83">
        <f t="shared" si="19"/>
        <v>0</v>
      </c>
      <c r="I96" s="84">
        <f t="shared" si="13"/>
        <v>0</v>
      </c>
      <c r="J96" s="83"/>
      <c r="K96" s="83"/>
      <c r="L96" s="73"/>
      <c r="M96" s="91">
        <f t="shared" si="14"/>
        <v>0</v>
      </c>
      <c r="N96" s="84">
        <f t="shared" si="20"/>
        <v>0</v>
      </c>
      <c r="O96" s="73"/>
      <c r="P96" s="73"/>
    </row>
    <row r="97" spans="1:16">
      <c r="A97" s="83">
        <v>78</v>
      </c>
      <c r="B97" s="77">
        <f t="shared" si="15"/>
        <v>47849</v>
      </c>
      <c r="C97" s="83">
        <f t="shared" si="22"/>
        <v>0</v>
      </c>
      <c r="D97" s="84">
        <f t="shared" si="16"/>
        <v>0</v>
      </c>
      <c r="E97" s="84">
        <f t="shared" si="17"/>
        <v>0</v>
      </c>
      <c r="F97" s="84">
        <f t="shared" si="21"/>
        <v>0</v>
      </c>
      <c r="G97" s="84">
        <f t="shared" si="23"/>
        <v>0</v>
      </c>
      <c r="H97" s="83">
        <f t="shared" si="19"/>
        <v>0</v>
      </c>
      <c r="I97" s="84">
        <f t="shared" si="13"/>
        <v>0</v>
      </c>
      <c r="J97" s="83"/>
      <c r="K97" s="83"/>
      <c r="L97" s="73"/>
      <c r="M97" s="91">
        <f t="shared" si="14"/>
        <v>0</v>
      </c>
      <c r="N97" s="84">
        <f t="shared" si="20"/>
        <v>0</v>
      </c>
      <c r="O97" s="73"/>
      <c r="P97" s="73"/>
    </row>
    <row r="98" spans="1:16">
      <c r="A98" s="83">
        <v>79</v>
      </c>
      <c r="B98" s="77">
        <f t="shared" si="15"/>
        <v>47880</v>
      </c>
      <c r="C98" s="83">
        <f t="shared" si="22"/>
        <v>0</v>
      </c>
      <c r="D98" s="84">
        <f t="shared" si="16"/>
        <v>0</v>
      </c>
      <c r="E98" s="84">
        <f t="shared" si="17"/>
        <v>0</v>
      </c>
      <c r="F98" s="84">
        <f t="shared" si="21"/>
        <v>0</v>
      </c>
      <c r="G98" s="84">
        <f t="shared" si="23"/>
        <v>0</v>
      </c>
      <c r="H98" s="83">
        <f t="shared" si="19"/>
        <v>0</v>
      </c>
      <c r="I98" s="84">
        <f t="shared" si="13"/>
        <v>0</v>
      </c>
      <c r="J98" s="83"/>
      <c r="K98" s="83"/>
      <c r="L98" s="73"/>
      <c r="M98" s="91">
        <f t="shared" si="14"/>
        <v>0</v>
      </c>
      <c r="N98" s="84">
        <f t="shared" si="20"/>
        <v>0</v>
      </c>
      <c r="O98" s="73"/>
      <c r="P98" s="73"/>
    </row>
    <row r="99" spans="1:16">
      <c r="A99" s="83">
        <v>80</v>
      </c>
      <c r="B99" s="77">
        <f t="shared" si="15"/>
        <v>47908</v>
      </c>
      <c r="C99" s="83">
        <f t="shared" si="22"/>
        <v>0</v>
      </c>
      <c r="D99" s="84">
        <f t="shared" si="16"/>
        <v>0</v>
      </c>
      <c r="E99" s="84">
        <f t="shared" si="17"/>
        <v>0</v>
      </c>
      <c r="F99" s="84">
        <f t="shared" si="21"/>
        <v>0</v>
      </c>
      <c r="G99" s="84">
        <f t="shared" si="23"/>
        <v>0</v>
      </c>
      <c r="H99" s="83">
        <f t="shared" si="19"/>
        <v>0</v>
      </c>
      <c r="I99" s="84">
        <f t="shared" si="13"/>
        <v>0</v>
      </c>
      <c r="J99" s="83"/>
      <c r="K99" s="83"/>
      <c r="L99" s="73"/>
      <c r="M99" s="91">
        <f t="shared" si="14"/>
        <v>0</v>
      </c>
      <c r="N99" s="84">
        <f t="shared" si="20"/>
        <v>0</v>
      </c>
      <c r="O99" s="73"/>
      <c r="P99" s="73"/>
    </row>
    <row r="100" spans="1:16">
      <c r="A100" s="83">
        <v>81</v>
      </c>
      <c r="B100" s="77">
        <f t="shared" si="15"/>
        <v>47939</v>
      </c>
      <c r="C100" s="83">
        <f t="shared" si="22"/>
        <v>0</v>
      </c>
      <c r="D100" s="84">
        <f t="shared" si="16"/>
        <v>0</v>
      </c>
      <c r="E100" s="84">
        <f>D100*0.2</f>
        <v>0</v>
      </c>
      <c r="F100" s="84">
        <f t="shared" si="21"/>
        <v>0</v>
      </c>
      <c r="G100" s="84">
        <f t="shared" si="23"/>
        <v>0</v>
      </c>
      <c r="H100" s="83">
        <f t="shared" si="19"/>
        <v>0</v>
      </c>
      <c r="I100" s="84">
        <f t="shared" si="13"/>
        <v>0</v>
      </c>
      <c r="J100" s="83"/>
      <c r="K100" s="83"/>
      <c r="L100" s="73"/>
      <c r="M100" s="91">
        <f t="shared" si="14"/>
        <v>0</v>
      </c>
      <c r="N100" s="84">
        <f t="shared" si="20"/>
        <v>0</v>
      </c>
      <c r="O100" s="73"/>
      <c r="P100" s="73"/>
    </row>
    <row r="101" spans="1:16">
      <c r="A101" s="83">
        <v>82</v>
      </c>
      <c r="B101" s="77">
        <f t="shared" si="15"/>
        <v>47969</v>
      </c>
      <c r="C101" s="83">
        <f t="shared" si="22"/>
        <v>0</v>
      </c>
      <c r="D101" s="84">
        <f t="shared" si="16"/>
        <v>0</v>
      </c>
      <c r="E101" s="84">
        <f>D101*0.2</f>
        <v>0</v>
      </c>
      <c r="F101" s="84">
        <f t="shared" si="21"/>
        <v>0</v>
      </c>
      <c r="G101" s="84">
        <f t="shared" si="23"/>
        <v>0</v>
      </c>
      <c r="H101" s="83">
        <f t="shared" si="19"/>
        <v>0</v>
      </c>
      <c r="I101" s="84">
        <f t="shared" si="13"/>
        <v>0</v>
      </c>
      <c r="J101" s="83"/>
      <c r="K101" s="83"/>
      <c r="L101" s="73"/>
      <c r="M101" s="91">
        <f t="shared" si="14"/>
        <v>0</v>
      </c>
      <c r="N101" s="84">
        <f t="shared" si="20"/>
        <v>0</v>
      </c>
      <c r="O101" s="73"/>
      <c r="P101" s="73"/>
    </row>
    <row r="102" spans="1:16">
      <c r="A102" s="83">
        <v>83</v>
      </c>
      <c r="B102" s="77">
        <f t="shared" si="15"/>
        <v>48000</v>
      </c>
      <c r="C102" s="83">
        <f t="shared" si="22"/>
        <v>0</v>
      </c>
      <c r="D102" s="84">
        <f t="shared" si="16"/>
        <v>0</v>
      </c>
      <c r="E102" s="84">
        <f>D102*0.2</f>
        <v>0</v>
      </c>
      <c r="F102" s="84">
        <f t="shared" si="21"/>
        <v>0</v>
      </c>
      <c r="G102" s="84">
        <f t="shared" si="23"/>
        <v>0</v>
      </c>
      <c r="H102" s="83">
        <f t="shared" si="19"/>
        <v>0</v>
      </c>
      <c r="I102" s="84">
        <f t="shared" si="13"/>
        <v>0</v>
      </c>
      <c r="J102" s="83"/>
      <c r="K102" s="83"/>
      <c r="L102" s="73"/>
      <c r="M102" s="91">
        <f t="shared" si="14"/>
        <v>0</v>
      </c>
      <c r="N102" s="84">
        <f t="shared" si="20"/>
        <v>0</v>
      </c>
      <c r="O102" s="73"/>
      <c r="P102" s="73"/>
    </row>
    <row r="103" spans="1:16">
      <c r="A103" s="92">
        <v>84</v>
      </c>
      <c r="B103" s="93">
        <f t="shared" si="15"/>
        <v>48030</v>
      </c>
      <c r="C103" s="92">
        <f t="shared" si="22"/>
        <v>0</v>
      </c>
      <c r="D103" s="94">
        <f t="shared" si="16"/>
        <v>0</v>
      </c>
      <c r="E103" s="94">
        <f>D103*0.2</f>
        <v>0</v>
      </c>
      <c r="F103" s="94">
        <f t="shared" si="21"/>
        <v>0</v>
      </c>
      <c r="G103" s="94">
        <f t="shared" si="23"/>
        <v>0</v>
      </c>
      <c r="H103" s="92">
        <f t="shared" si="19"/>
        <v>0</v>
      </c>
      <c r="I103" s="84">
        <f t="shared" si="13"/>
        <v>0</v>
      </c>
      <c r="J103" s="92"/>
      <c r="K103" s="92"/>
      <c r="M103" s="91">
        <f t="shared" si="14"/>
        <v>0</v>
      </c>
      <c r="N103" s="94">
        <f t="shared" si="20"/>
        <v>0</v>
      </c>
    </row>
    <row r="105" spans="1:16">
      <c r="B105" s="96"/>
    </row>
    <row r="106" spans="1:16">
      <c r="B106" s="94"/>
    </row>
  </sheetData>
  <sheetProtection formatRows="0" insertColumns="0" selectLockedCells="1" selectUnlockedCells="1"/>
  <conditionalFormatting sqref="I17">
    <cfRule type="cellIs" dxfId="104" priority="7" operator="greaterThan">
      <formula>0</formula>
    </cfRule>
    <cfRule type="cellIs" dxfId="103" priority="8" operator="equal">
      <formula>0</formula>
    </cfRule>
    <cfRule type="cellIs" dxfId="102" priority="6" operator="lessThan">
      <formula>0</formula>
    </cfRule>
  </conditionalFormatting>
  <conditionalFormatting sqref="F15">
    <cfRule type="cellIs" dxfId="101" priority="2" operator="greaterThan">
      <formula>0.18</formula>
    </cfRule>
    <cfRule type="cellIs" dxfId="100" priority="1" operator="lessThan">
      <formula>0.1</formula>
    </cfRule>
  </conditionalFormatting>
  <conditionalFormatting sqref="C17">
    <cfRule type="cellIs" dxfId="99" priority="9" operator="lessThan">
      <formula>0</formula>
    </cfRule>
    <cfRule type="cellIs" dxfId="98" priority="10" operator="greaterThan">
      <formula>0</formula>
    </cfRule>
    <cfRule type="cellIs" dxfId="97" priority="11" operator="equal">
      <formula>0</formula>
    </cfRule>
  </conditionalFormatting>
  <conditionalFormatting sqref="B17">
    <cfRule type="cellIs" dxfId="96" priority="4" operator="greaterThan">
      <formula>0</formula>
    </cfRule>
    <cfRule type="cellIs" dxfId="95" priority="5" operator="equal">
      <formula>0</formula>
    </cfRule>
    <cfRule type="cellIs" dxfId="94" priority="3" operator="lessThan">
      <formula>0</formula>
    </cfRule>
  </conditionalFormatting>
  <dataValidations count="2">
    <dataValidation type="list" allowBlank="1" showInputMessage="1" showErrorMessage="1" sqref="F11" xr:uid="{00000000-0002-0000-0300-000000000000}">
      <formula1>$I$9:$I$10</formula1>
    </dataValidation>
    <dataValidation type="list" allowBlank="1" showInputMessage="1" showErrorMessage="1" sqref="F9" xr:uid="{00000000-0002-0000-0300-000001000000}">
      <formula1>$I$6:$I$7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7"/>
  <sheetViews>
    <sheetView zoomScale="86" workbookViewId="0">
      <selection activeCell="F15" sqref="F15"/>
    </sheetView>
  </sheetViews>
  <sheetFormatPr defaultColWidth="9.140625" defaultRowHeight="15"/>
  <cols>
    <col min="1" max="2" width="9" style="66" bestFit="1" customWidth="1"/>
    <col min="3" max="3" width="11" style="66" bestFit="1" customWidth="1"/>
    <col min="4" max="7" width="9.140625" style="66" bestFit="1" customWidth="1"/>
    <col min="8" max="8" width="11" style="66" bestFit="1" customWidth="1"/>
    <col min="9" max="9" width="11" style="66" customWidth="1"/>
    <col min="10" max="12" width="9.140625" style="66" bestFit="1" customWidth="1"/>
    <col min="13" max="13" width="11" style="66" bestFit="1" customWidth="1"/>
    <col min="14" max="14" width="10.28515625" style="66" bestFit="1" customWidth="1"/>
    <col min="15" max="17" width="9" style="66" bestFit="1" customWidth="1"/>
    <col min="18" max="18" width="10.140625" style="66" bestFit="1" customWidth="1"/>
    <col min="19" max="16384" width="9.140625" style="66"/>
  </cols>
  <sheetData>
    <row r="1" spans="1:18" ht="18.75">
      <c r="A1" s="99" t="s">
        <v>65</v>
      </c>
      <c r="F1" s="100"/>
    </row>
    <row r="2" spans="1:18" ht="18.75">
      <c r="A2" s="99" t="s">
        <v>66</v>
      </c>
      <c r="F2" s="101" t="s">
        <v>67</v>
      </c>
    </row>
    <row r="5" spans="1:18">
      <c r="A5" s="102" t="s">
        <v>68</v>
      </c>
      <c r="F5" s="103">
        <f>'Калькулятор 12-48 мес'!K11</f>
        <v>1000</v>
      </c>
      <c r="H5" s="102"/>
      <c r="I5" s="102"/>
      <c r="J5" s="102"/>
      <c r="K5" s="102" t="s">
        <v>69</v>
      </c>
    </row>
    <row r="6" spans="1:18">
      <c r="A6" s="102" t="s">
        <v>70</v>
      </c>
      <c r="F6" s="104">
        <f>'Калькулятор 12-48 мес'!K14</f>
        <v>0</v>
      </c>
      <c r="G6" s="103">
        <f>F5*F6</f>
        <v>0</v>
      </c>
      <c r="I6" s="66" t="s">
        <v>71</v>
      </c>
      <c r="K6" s="105">
        <v>44927</v>
      </c>
      <c r="O6" s="102" t="s">
        <v>72</v>
      </c>
      <c r="P6" s="102"/>
      <c r="Q6" s="102" t="s">
        <v>73</v>
      </c>
      <c r="R6" s="102" t="s">
        <v>74</v>
      </c>
    </row>
    <row r="7" spans="1:18">
      <c r="A7" s="102" t="s">
        <v>75</v>
      </c>
      <c r="F7" s="103">
        <v>18</v>
      </c>
      <c r="I7" s="66" t="s">
        <v>76</v>
      </c>
      <c r="O7" s="66">
        <v>1</v>
      </c>
      <c r="P7" s="66" t="s">
        <v>77</v>
      </c>
      <c r="Q7" s="106">
        <v>2.0199999999999999E-2</v>
      </c>
      <c r="R7" s="106">
        <f>2.02%*1.22</f>
        <v>2.4643999999999999E-2</v>
      </c>
    </row>
    <row r="8" spans="1:18">
      <c r="A8" s="102" t="s">
        <v>78</v>
      </c>
      <c r="F8" s="107">
        <v>0</v>
      </c>
      <c r="L8" s="66" t="s">
        <v>79</v>
      </c>
      <c r="M8" s="66" t="s">
        <v>80</v>
      </c>
      <c r="O8" s="66">
        <v>2</v>
      </c>
      <c r="P8" s="66" t="s">
        <v>81</v>
      </c>
      <c r="Q8" s="107">
        <f>2.07%*0.8</f>
        <v>1.6560000000000002E-2</v>
      </c>
      <c r="R8" s="107">
        <f>2.07%*0.8*1.22</f>
        <v>2.0203200000000001E-2</v>
      </c>
    </row>
    <row r="9" spans="1:18">
      <c r="A9" s="102" t="s">
        <v>82</v>
      </c>
      <c r="F9" s="103" t="s">
        <v>71</v>
      </c>
      <c r="I9" s="66" t="s">
        <v>83</v>
      </c>
      <c r="K9" s="66" t="s">
        <v>84</v>
      </c>
      <c r="L9" s="107">
        <v>0</v>
      </c>
      <c r="M9" s="103">
        <v>0</v>
      </c>
      <c r="O9" s="66">
        <v>3</v>
      </c>
      <c r="P9" s="66" t="s">
        <v>85</v>
      </c>
      <c r="Q9" s="107">
        <f>2.33%*0.7</f>
        <v>1.6310000000000002E-2</v>
      </c>
      <c r="R9" s="107">
        <f>2.33%*0.7*1.22</f>
        <v>1.9898200000000001E-2</v>
      </c>
    </row>
    <row r="10" spans="1:18">
      <c r="A10" s="102" t="s">
        <v>86</v>
      </c>
      <c r="F10" s="108">
        <v>1</v>
      </c>
      <c r="I10" s="66" t="s">
        <v>87</v>
      </c>
      <c r="K10" s="66" t="s">
        <v>88</v>
      </c>
      <c r="L10" s="107"/>
      <c r="M10" s="103">
        <v>12</v>
      </c>
      <c r="O10" s="66">
        <v>4</v>
      </c>
      <c r="P10" s="66" t="s">
        <v>89</v>
      </c>
      <c r="Q10" s="107">
        <f>2.76%*0.6</f>
        <v>1.6559999999999998E-2</v>
      </c>
      <c r="R10" s="107">
        <f>2.76%*0.6*1.22</f>
        <v>2.0203199999999998E-2</v>
      </c>
    </row>
    <row r="11" spans="1:18">
      <c r="A11" s="102"/>
      <c r="F11" s="108"/>
      <c r="L11" s="107"/>
      <c r="M11" s="103"/>
      <c r="Q11" s="107"/>
    </row>
    <row r="12" spans="1:18">
      <c r="A12" s="102" t="s">
        <v>90</v>
      </c>
      <c r="F12" s="103" t="s">
        <v>87</v>
      </c>
      <c r="O12" s="66">
        <v>5</v>
      </c>
      <c r="P12" s="66" t="s">
        <v>91</v>
      </c>
      <c r="Q12" s="107">
        <f>3.03%*0.5</f>
        <v>1.5149999999999999E-2</v>
      </c>
      <c r="R12" s="107">
        <f>3.03%*0.5*1.22</f>
        <v>1.8482999999999999E-2</v>
      </c>
    </row>
    <row r="13" spans="1:18">
      <c r="A13" s="102" t="s">
        <v>92</v>
      </c>
      <c r="F13" s="107">
        <v>0</v>
      </c>
      <c r="G13" s="107"/>
      <c r="I13" s="66" t="s">
        <v>93</v>
      </c>
      <c r="K13" s="102" t="s">
        <v>94</v>
      </c>
      <c r="O13" s="66">
        <v>6</v>
      </c>
      <c r="P13" s="66" t="s">
        <v>95</v>
      </c>
      <c r="Q13" s="106">
        <f>Q12</f>
        <v>1.5149999999999999E-2</v>
      </c>
      <c r="R13" s="106">
        <v>0</v>
      </c>
    </row>
    <row r="14" spans="1:18">
      <c r="A14" s="102" t="s">
        <v>96</v>
      </c>
      <c r="F14" s="109">
        <v>0.49</v>
      </c>
      <c r="G14" s="107"/>
      <c r="I14" s="66" t="s">
        <v>2</v>
      </c>
      <c r="K14" s="107">
        <v>0.01</v>
      </c>
      <c r="O14" s="66">
        <v>7</v>
      </c>
      <c r="P14" s="66" t="s">
        <v>97</v>
      </c>
      <c r="Q14" s="106">
        <f>Q13</f>
        <v>1.5149999999999999E-2</v>
      </c>
      <c r="R14" s="106">
        <v>0</v>
      </c>
    </row>
    <row r="15" spans="1:18">
      <c r="A15" s="102" t="s">
        <v>98</v>
      </c>
      <c r="F15" s="107">
        <v>0</v>
      </c>
      <c r="G15" s="107"/>
    </row>
    <row r="16" spans="1:18">
      <c r="A16" s="102" t="s">
        <v>99</v>
      </c>
      <c r="F16" s="107">
        <f>XIRR(M20:M104,B20:B104)</f>
        <v>0.61607335209846514</v>
      </c>
    </row>
    <row r="17" spans="1:19">
      <c r="O17" s="106"/>
      <c r="P17" s="106"/>
      <c r="R17" s="66" t="str">
        <f>'Калькулятор 12-48 мес'!K12</f>
        <v>ФЛ</v>
      </c>
      <c r="S17" s="66" t="s">
        <v>100</v>
      </c>
    </row>
    <row r="18" spans="1:19">
      <c r="A18" s="110">
        <f>LARGE(A20:A1048576,1)</f>
        <v>84</v>
      </c>
      <c r="B18" s="110">
        <f>IF(A18&lt;F7,"протяните формулы",0)</f>
        <v>0</v>
      </c>
      <c r="C18" s="110">
        <f>SUM(C20:C104)</f>
        <v>0</v>
      </c>
      <c r="D18" s="110">
        <f t="shared" ref="D18:M18" si="0">SUM(D20:D104)</f>
        <v>391.38749999999987</v>
      </c>
      <c r="E18" s="110">
        <f t="shared" si="0"/>
        <v>0</v>
      </c>
      <c r="F18" s="110">
        <f t="shared" si="0"/>
        <v>0</v>
      </c>
      <c r="G18" s="110">
        <f t="shared" si="0"/>
        <v>0</v>
      </c>
      <c r="H18" s="110">
        <f t="shared" si="0"/>
        <v>391.38750000000005</v>
      </c>
      <c r="I18" s="111"/>
      <c r="J18" s="110">
        <f t="shared" si="0"/>
        <v>0</v>
      </c>
      <c r="K18" s="110">
        <f t="shared" si="0"/>
        <v>0</v>
      </c>
      <c r="L18" s="110">
        <f t="shared" si="0"/>
        <v>0</v>
      </c>
      <c r="M18" s="110">
        <f t="shared" si="0"/>
        <v>391.38750000000005</v>
      </c>
      <c r="O18" s="112"/>
      <c r="P18" s="112"/>
    </row>
    <row r="19" spans="1:19" ht="76.5">
      <c r="A19" s="113" t="s">
        <v>101</v>
      </c>
      <c r="B19" s="113" t="s">
        <v>102</v>
      </c>
      <c r="C19" s="113" t="s">
        <v>103</v>
      </c>
      <c r="D19" s="113" t="s">
        <v>104</v>
      </c>
      <c r="E19" s="113" t="s">
        <v>105</v>
      </c>
      <c r="F19" s="113" t="s">
        <v>106</v>
      </c>
      <c r="G19" s="113" t="s">
        <v>107</v>
      </c>
      <c r="H19" s="113" t="s">
        <v>108</v>
      </c>
      <c r="I19" s="85" t="s">
        <v>109</v>
      </c>
      <c r="J19" s="113" t="s">
        <v>84</v>
      </c>
      <c r="K19" s="113" t="s">
        <v>110</v>
      </c>
      <c r="L19" s="113" t="s">
        <v>111</v>
      </c>
      <c r="M19" s="113" t="s">
        <v>112</v>
      </c>
      <c r="N19" s="113" t="s">
        <v>113</v>
      </c>
      <c r="O19" s="106"/>
      <c r="P19" s="106"/>
      <c r="Q19" s="114"/>
      <c r="R19" s="114"/>
      <c r="S19" s="114"/>
    </row>
    <row r="20" spans="1:19">
      <c r="A20" s="115">
        <v>0</v>
      </c>
      <c r="B20" s="115" t="s">
        <v>114</v>
      </c>
      <c r="C20" s="111">
        <f>IF(F6&gt;=40%,-(F5*60%),-(F5*(1-F6)))</f>
        <v>-1000</v>
      </c>
      <c r="D20" s="111"/>
      <c r="E20" s="111"/>
      <c r="F20" s="111"/>
      <c r="G20" s="111"/>
      <c r="H20" s="111">
        <f>SUM(C20:G20)</f>
        <v>-1000</v>
      </c>
      <c r="I20" s="111">
        <f>C20*20/120</f>
        <v>-166.66666666666666</v>
      </c>
      <c r="J20" s="111">
        <f>-F5*L9</f>
        <v>0</v>
      </c>
      <c r="K20" s="111">
        <f>-F5*L10</f>
        <v>0</v>
      </c>
      <c r="L20" s="111">
        <f>F5*F8</f>
        <v>0</v>
      </c>
      <c r="M20" s="116">
        <f>SUM(C20,D20,G20,J20,K20,L20)</f>
        <v>-1000</v>
      </c>
      <c r="N20" s="111">
        <f>-C20</f>
        <v>1000</v>
      </c>
      <c r="O20" s="106"/>
      <c r="P20" s="106"/>
    </row>
    <row r="21" spans="1:19">
      <c r="A21" s="110">
        <f>A20+1</f>
        <v>1</v>
      </c>
      <c r="B21" s="105">
        <f>EOMONTH(B20,0)+DAY(B20)</f>
        <v>43409</v>
      </c>
      <c r="C21" s="111">
        <f>IF(A21&lt;=$F$7,(IF($F$6&lt;=40%,IF($F$9=$I$6,(-$C$20-$F$5*$K$14)/$F$7+IF(A21=$F$7,$F$5*$K$14,0),MINA(((N20-$F$5*$K$14)/($F$7-A21+1)*$F$10),(N20-$F$5*$K$14))+IF(A21=$F$7,$F$5*$K$14,0)),IF(A21=1,F5*(F6-40%),IF($F$9=$I$6,(-$C$20-$F$5*$K$14)/$F$7+IF(A21=$F$7,$F$5*$K$14,0),MINA(((N20-$F$5*$K$14)/($F$7-A21+1)*$F$10),(N20-$F$5*$K$14))+IF(A21=$F$7,$F$5*$K$14,0))))),0)</f>
        <v>55</v>
      </c>
      <c r="D21" s="111">
        <f t="shared" ref="D21:D84" si="1">IF(A21&lt;=$F$7,IF($F$12=$I$9,$F$5*$F$13,N20*$F$14/12),0)+-IF(AND(A21&lt;=$M$9,$M$9&lt;&gt;0),$J$20/$M$9,0)+-IF(AND(A21&lt;=$M$10,$M$10&lt;&gt;0),$K$20/$M$10,0)</f>
        <v>40.833333333333336</v>
      </c>
      <c r="E21" s="111">
        <f>IF($R$17="ЮЛ",D21*0.2,0)</f>
        <v>0</v>
      </c>
      <c r="F21" s="111">
        <f>IF(AND(A21&lt;=$F$7,$S$17="ДА"),($F$5*VLOOKUP(ROUNDUP(A21/12,0),$O$7:$Q$14,3,0)/12),0)</f>
        <v>0</v>
      </c>
      <c r="G21" s="111">
        <v>0</v>
      </c>
      <c r="H21" s="111">
        <f>SUM(C21:G21)+SUM(C21:G21)*$F$15</f>
        <v>95.833333333333343</v>
      </c>
      <c r="I21" s="111">
        <f t="shared" ref="I21:I38" si="2">C21*20/120</f>
        <v>9.1666666666666661</v>
      </c>
      <c r="J21" s="111"/>
      <c r="K21" s="111"/>
      <c r="L21" s="111"/>
      <c r="M21" s="116">
        <f t="shared" ref="M21:M84" si="3">SUM(C21,D21,G21,J21,K21,L21)</f>
        <v>95.833333333333343</v>
      </c>
      <c r="N21" s="111">
        <f t="shared" ref="N21:N84" si="4">N20-C21</f>
        <v>945</v>
      </c>
      <c r="O21" s="106"/>
      <c r="P21" s="106"/>
    </row>
    <row r="22" spans="1:19">
      <c r="A22" s="110">
        <v>2</v>
      </c>
      <c r="B22" s="105">
        <f t="shared" ref="B22:B85" si="5">EOMONTH(B21,0)+DAY(B21)</f>
        <v>43439</v>
      </c>
      <c r="C22" s="111">
        <f>IF(A22&lt;=$F$7,(IF($F$6&lt;=40%,IF($F$9=$I$6,(-$C$20-$F$5*$K$14)/$F$7+IF(A22=$F$7,$F$5*$K$14,0),MINA(((N21-$F$5*$K$14)/($F$7-A22+1)*$F$10),(N21-$F$5*$K$14))+IF(A22=$F$7,$F$5*$K$14,0)),IF(A22=1,F6*(F7-40%),IF($F$9=$I$6,(-$C$20-$F$5*$K$14)/$F$7+IF(A22=$F$7,$F$5*$K$14,0),MINA(((N21-$F$5*$K$14)/($F$7-A22+1)*$F$10),(N21-$F$5*$K$14))+IF(A22=$F$7,$F$5*$K$14,0))))),0)</f>
        <v>55</v>
      </c>
      <c r="D22" s="111">
        <f t="shared" si="1"/>
        <v>38.587499999999999</v>
      </c>
      <c r="E22" s="111">
        <f t="shared" ref="E22:E85" si="6">IF($R$17="ЮЛ",D22*0.2,0)</f>
        <v>0</v>
      </c>
      <c r="F22" s="111">
        <f t="shared" ref="F22:F85" si="7">IF(AND(A22&lt;=$F$7,$S$17="ДА"),($F$5*VLOOKUP(ROUNDUP(A22/12,0),$O$7:$Q$14,3,0)/12),0)</f>
        <v>0</v>
      </c>
      <c r="G22" s="111">
        <v>0</v>
      </c>
      <c r="H22" s="111">
        <f t="shared" ref="H22:H85" si="8">SUM(C22:G22)+SUM(C22:G22)*$F$15</f>
        <v>93.587500000000006</v>
      </c>
      <c r="I22" s="111">
        <f t="shared" si="2"/>
        <v>9.1666666666666661</v>
      </c>
      <c r="J22" s="111"/>
      <c r="K22" s="111"/>
      <c r="L22" s="111"/>
      <c r="M22" s="116">
        <f t="shared" si="3"/>
        <v>93.587500000000006</v>
      </c>
      <c r="N22" s="111">
        <f t="shared" si="4"/>
        <v>890</v>
      </c>
      <c r="O22" s="106"/>
      <c r="P22" s="106"/>
    </row>
    <row r="23" spans="1:19">
      <c r="A23" s="110">
        <v>3</v>
      </c>
      <c r="B23" s="105">
        <f t="shared" si="5"/>
        <v>43470</v>
      </c>
      <c r="C23" s="111">
        <f>IF(A23&lt;=$F$7,(IF($F$6&lt;=40%,IF($F$9=$I$6,(-$C$20-$F$5*$K$14)/$F$7+IF(A23=$F$7,$F$5*$K$14,0),MINA(((N22-$F$5*$K$14)/($F$7-A23+1)*$F$10),(N22-$F$5*$K$14))+IF(A23=$F$7,$F$5*$K$14,0)),IF(A23=1,F7*(F8-40%),IF($F$9=$I$6,(-$C$20-$F$5*$K$14)/$F$7+IF(A23=$F$7,$F$5*$K$14,0),MINA(((N22-$F$5*$K$14)/($F$7-A23+1)*$F$10),(N22-$F$5*$K$14))+IF(A23=$F$7,$F$5*$K$14,0))))),0)</f>
        <v>55</v>
      </c>
      <c r="D23" s="111">
        <f t="shared" si="1"/>
        <v>36.341666666666661</v>
      </c>
      <c r="E23" s="111">
        <f t="shared" si="6"/>
        <v>0</v>
      </c>
      <c r="F23" s="111">
        <f t="shared" si="7"/>
        <v>0</v>
      </c>
      <c r="G23" s="111">
        <v>0</v>
      </c>
      <c r="H23" s="111">
        <f t="shared" si="8"/>
        <v>91.341666666666669</v>
      </c>
      <c r="I23" s="111">
        <f t="shared" si="2"/>
        <v>9.1666666666666661</v>
      </c>
      <c r="J23" s="111"/>
      <c r="K23" s="111"/>
      <c r="L23" s="111"/>
      <c r="M23" s="116">
        <f t="shared" si="3"/>
        <v>91.341666666666669</v>
      </c>
      <c r="N23" s="111">
        <f t="shared" si="4"/>
        <v>835</v>
      </c>
      <c r="O23" s="106"/>
      <c r="P23" s="106"/>
    </row>
    <row r="24" spans="1:19">
      <c r="A24" s="110">
        <v>4</v>
      </c>
      <c r="B24" s="105">
        <f t="shared" si="5"/>
        <v>43501</v>
      </c>
      <c r="C24" s="111">
        <f>IF(A24&lt;=$F$7,(IF($F$6&lt;=40%,IF($F$9=$I$6,(-$C$20-$F$5*$K$14)/$F$7+IF(A24=$F$7,$F$5*$K$14,0),MINA(((N23-$F$5*$K$14)/($F$7-A24+1)*$F$10),(N23-$F$5*$K$14))+IF(A24=$F$7,$F$5*$K$14,0)),IF(A24=1,F8*(F9-40%),IF($F$9=$I$6,(-$C$20-$F$5*$K$14)/$F$7+IF(A24=$F$7,$F$5*$K$14,0),MINA(((N23-$F$5*$K$14)/($F$7-A24+1)*$F$10),(N23-$F$5*$K$14))+IF(A24=$F$7,$F$5*$K$14,0))))),0)</f>
        <v>55</v>
      </c>
      <c r="D24" s="111">
        <f t="shared" si="1"/>
        <v>34.095833333333331</v>
      </c>
      <c r="E24" s="111">
        <f t="shared" si="6"/>
        <v>0</v>
      </c>
      <c r="F24" s="111">
        <f t="shared" si="7"/>
        <v>0</v>
      </c>
      <c r="G24" s="111">
        <v>0</v>
      </c>
      <c r="H24" s="111">
        <f t="shared" si="8"/>
        <v>89.095833333333331</v>
      </c>
      <c r="I24" s="111">
        <f t="shared" si="2"/>
        <v>9.1666666666666661</v>
      </c>
      <c r="J24" s="111"/>
      <c r="K24" s="111"/>
      <c r="L24" s="111"/>
      <c r="M24" s="116">
        <f t="shared" si="3"/>
        <v>89.095833333333331</v>
      </c>
      <c r="N24" s="111">
        <f t="shared" si="4"/>
        <v>780</v>
      </c>
      <c r="O24" s="106"/>
      <c r="P24" s="106"/>
    </row>
    <row r="25" spans="1:19">
      <c r="A25" s="110">
        <v>5</v>
      </c>
      <c r="B25" s="105">
        <f t="shared" si="5"/>
        <v>43529</v>
      </c>
      <c r="C25" s="111">
        <f>IF(A25&lt;=$F$7,(IF($F$6&lt;=40%,IF($F$9=$I$6,(-$C$20-$F$5*$K$14)/$F$7+IF(A25=$F$7,$F$5*$K$14,0),MINA(((N24-$F$5*$K$14)/($F$7-A25+1)*$F$10),(N24-$F$5*$K$14))+IF(A25=$F$7,$F$5*$K$14,0)),IF(A25=1,F9*(F10-40%),IF($F$9=$I$6,(-$C$20-$F$5*$K$14)/$F$7+IF(A25=$F$7,$F$5*$K$14,0),MINA(((N24-$F$5*$K$14)/($F$7-A25+1)*$F$10),(N24-$F$5*$K$14))+IF(A25=$F$7,$F$5*$K$14,0))))),0)</f>
        <v>55</v>
      </c>
      <c r="D25" s="111">
        <f t="shared" si="1"/>
        <v>31.849999999999998</v>
      </c>
      <c r="E25" s="111">
        <f t="shared" si="6"/>
        <v>0</v>
      </c>
      <c r="F25" s="111">
        <f t="shared" si="7"/>
        <v>0</v>
      </c>
      <c r="G25" s="111">
        <v>0</v>
      </c>
      <c r="H25" s="111">
        <f t="shared" si="8"/>
        <v>86.85</v>
      </c>
      <c r="I25" s="111">
        <f t="shared" si="2"/>
        <v>9.1666666666666661</v>
      </c>
      <c r="J25" s="111"/>
      <c r="K25" s="111"/>
      <c r="L25" s="111"/>
      <c r="M25" s="116">
        <f t="shared" si="3"/>
        <v>86.85</v>
      </c>
      <c r="N25" s="111">
        <f t="shared" si="4"/>
        <v>725</v>
      </c>
    </row>
    <row r="26" spans="1:19">
      <c r="A26" s="110">
        <v>6</v>
      </c>
      <c r="B26" s="105">
        <f t="shared" si="5"/>
        <v>43560</v>
      </c>
      <c r="C26" s="111">
        <f>IF(A26&lt;=$F$7,(IF($F$6&lt;=40%,IF($F$9=$I$6,(-$C$20-$F$5*$K$14)/$F$7+IF(A26=$F$7,$F$5*$K$14,0),MINA(((N25-$F$5*$K$14)/($F$7-A26+1)*$F$10),(N25-$F$5*$K$14))+IF(A26=$F$7,$F$5*$K$14,0)),IF(A26=1,F10*(F12-40%),IF($F$9=$I$6,(-$C$20-$F$5*$K$14)/$F$7+IF(A26=$F$7,$F$5*$K$14,0),MINA(((N25-$F$5*$K$14)/($F$7-A26+1)*$F$10),(N25-$F$5*$K$14))+IF(A26=$F$7,$F$5*$K$14,0))))),0)</f>
        <v>55</v>
      </c>
      <c r="D26" s="111">
        <f t="shared" si="1"/>
        <v>29.604166666666668</v>
      </c>
      <c r="E26" s="111">
        <f t="shared" si="6"/>
        <v>0</v>
      </c>
      <c r="F26" s="111">
        <f t="shared" si="7"/>
        <v>0</v>
      </c>
      <c r="G26" s="111">
        <v>0</v>
      </c>
      <c r="H26" s="111">
        <f t="shared" si="8"/>
        <v>84.604166666666671</v>
      </c>
      <c r="I26" s="111">
        <f t="shared" si="2"/>
        <v>9.1666666666666661</v>
      </c>
      <c r="J26" s="111"/>
      <c r="K26" s="111"/>
      <c r="L26" s="111"/>
      <c r="M26" s="116">
        <f t="shared" si="3"/>
        <v>84.604166666666671</v>
      </c>
      <c r="N26" s="111">
        <f t="shared" si="4"/>
        <v>670</v>
      </c>
    </row>
    <row r="27" spans="1:19">
      <c r="A27" s="110">
        <v>7</v>
      </c>
      <c r="B27" s="105">
        <f t="shared" si="5"/>
        <v>43590</v>
      </c>
      <c r="C27" s="111">
        <f t="shared" ref="C27:C32" si="9">IF(A27&lt;=$F$7,(IF($F$6&lt;=40%,IF($F$9=$I$6,(-$C$20-$F$5*$K$14)/$F$7+IF(A27=$F$7,$F$5*$K$14,0),MINA(((N26-$F$5*$K$14)/($F$7-A27+1)*$F$10),(N26-$F$5*$K$14))+IF(A27=$F$7,$F$5*$K$14,0)),IF(A27=1,F12*(F13-40%),IF($F$9=$I$6,(-$C$20-$F$5*$K$14)/$F$7+IF(A27=$F$7,$F$5*$K$14,0),MINA(((N26-$F$5*$K$14)/($F$7-A27+1)*$F$10),(N26-$F$5*$K$14))+IF(A27=$F$7,$F$5*$K$14,0))))),0)</f>
        <v>55</v>
      </c>
      <c r="D27" s="111">
        <f t="shared" si="1"/>
        <v>27.358333333333334</v>
      </c>
      <c r="E27" s="111">
        <f t="shared" si="6"/>
        <v>0</v>
      </c>
      <c r="F27" s="111">
        <f t="shared" si="7"/>
        <v>0</v>
      </c>
      <c r="G27" s="111">
        <v>0</v>
      </c>
      <c r="H27" s="111">
        <f t="shared" si="8"/>
        <v>82.358333333333334</v>
      </c>
      <c r="I27" s="111">
        <f t="shared" si="2"/>
        <v>9.1666666666666661</v>
      </c>
      <c r="J27" s="111"/>
      <c r="K27" s="111"/>
      <c r="L27" s="111"/>
      <c r="M27" s="116">
        <f t="shared" si="3"/>
        <v>82.358333333333334</v>
      </c>
      <c r="N27" s="111">
        <f t="shared" si="4"/>
        <v>615</v>
      </c>
    </row>
    <row r="28" spans="1:19">
      <c r="A28" s="110">
        <v>8</v>
      </c>
      <c r="B28" s="105">
        <f t="shared" si="5"/>
        <v>43621</v>
      </c>
      <c r="C28" s="111">
        <f t="shared" si="9"/>
        <v>55</v>
      </c>
      <c r="D28" s="111">
        <f t="shared" si="1"/>
        <v>25.112500000000001</v>
      </c>
      <c r="E28" s="111">
        <f t="shared" si="6"/>
        <v>0</v>
      </c>
      <c r="F28" s="111">
        <f t="shared" si="7"/>
        <v>0</v>
      </c>
      <c r="G28" s="111">
        <v>0</v>
      </c>
      <c r="H28" s="111">
        <f t="shared" si="8"/>
        <v>80.112499999999997</v>
      </c>
      <c r="I28" s="111">
        <f t="shared" si="2"/>
        <v>9.1666666666666661</v>
      </c>
      <c r="J28" s="111"/>
      <c r="K28" s="111"/>
      <c r="L28" s="111"/>
      <c r="M28" s="116">
        <f t="shared" si="3"/>
        <v>80.112499999999997</v>
      </c>
      <c r="N28" s="111">
        <f t="shared" si="4"/>
        <v>560</v>
      </c>
    </row>
    <row r="29" spans="1:19">
      <c r="A29" s="110">
        <v>9</v>
      </c>
      <c r="B29" s="105">
        <f t="shared" si="5"/>
        <v>43651</v>
      </c>
      <c r="C29" s="111">
        <f t="shared" si="9"/>
        <v>55</v>
      </c>
      <c r="D29" s="111">
        <f t="shared" si="1"/>
        <v>22.866666666666664</v>
      </c>
      <c r="E29" s="111">
        <f t="shared" si="6"/>
        <v>0</v>
      </c>
      <c r="F29" s="111">
        <f t="shared" si="7"/>
        <v>0</v>
      </c>
      <c r="G29" s="111">
        <v>0</v>
      </c>
      <c r="H29" s="111">
        <f t="shared" si="8"/>
        <v>77.86666666666666</v>
      </c>
      <c r="I29" s="111">
        <f t="shared" si="2"/>
        <v>9.1666666666666661</v>
      </c>
      <c r="J29" s="111"/>
      <c r="K29" s="111"/>
      <c r="L29" s="111"/>
      <c r="M29" s="116">
        <f t="shared" si="3"/>
        <v>77.86666666666666</v>
      </c>
      <c r="N29" s="111">
        <f t="shared" si="4"/>
        <v>505</v>
      </c>
    </row>
    <row r="30" spans="1:19">
      <c r="A30" s="110">
        <v>10</v>
      </c>
      <c r="B30" s="105">
        <f t="shared" si="5"/>
        <v>43682</v>
      </c>
      <c r="C30" s="111">
        <f t="shared" si="9"/>
        <v>55</v>
      </c>
      <c r="D30" s="111">
        <f t="shared" si="1"/>
        <v>20.620833333333334</v>
      </c>
      <c r="E30" s="111">
        <f t="shared" si="6"/>
        <v>0</v>
      </c>
      <c r="F30" s="111">
        <f t="shared" si="7"/>
        <v>0</v>
      </c>
      <c r="G30" s="111">
        <v>0</v>
      </c>
      <c r="H30" s="111">
        <f t="shared" si="8"/>
        <v>75.620833333333337</v>
      </c>
      <c r="I30" s="111">
        <f t="shared" si="2"/>
        <v>9.1666666666666661</v>
      </c>
      <c r="J30" s="111"/>
      <c r="K30" s="111"/>
      <c r="L30" s="111"/>
      <c r="M30" s="116">
        <f t="shared" si="3"/>
        <v>75.620833333333337</v>
      </c>
      <c r="N30" s="111">
        <f t="shared" si="4"/>
        <v>450</v>
      </c>
    </row>
    <row r="31" spans="1:19">
      <c r="A31" s="110">
        <v>11</v>
      </c>
      <c r="B31" s="105">
        <f t="shared" si="5"/>
        <v>43713</v>
      </c>
      <c r="C31" s="111">
        <f t="shared" si="9"/>
        <v>55</v>
      </c>
      <c r="D31" s="111">
        <f t="shared" si="1"/>
        <v>18.375</v>
      </c>
      <c r="E31" s="111">
        <f t="shared" si="6"/>
        <v>0</v>
      </c>
      <c r="F31" s="111">
        <f t="shared" si="7"/>
        <v>0</v>
      </c>
      <c r="G31" s="111">
        <v>0</v>
      </c>
      <c r="H31" s="111">
        <f t="shared" si="8"/>
        <v>73.375</v>
      </c>
      <c r="I31" s="111">
        <f t="shared" si="2"/>
        <v>9.1666666666666661</v>
      </c>
      <c r="J31" s="111"/>
      <c r="K31" s="111"/>
      <c r="L31" s="111"/>
      <c r="M31" s="116">
        <f t="shared" si="3"/>
        <v>73.375</v>
      </c>
      <c r="N31" s="111">
        <f t="shared" si="4"/>
        <v>395</v>
      </c>
    </row>
    <row r="32" spans="1:19">
      <c r="A32" s="110">
        <v>12</v>
      </c>
      <c r="B32" s="105">
        <f t="shared" si="5"/>
        <v>43743</v>
      </c>
      <c r="C32" s="111">
        <f t="shared" si="9"/>
        <v>55</v>
      </c>
      <c r="D32" s="111">
        <f t="shared" si="1"/>
        <v>16.129166666666666</v>
      </c>
      <c r="E32" s="111">
        <f t="shared" si="6"/>
        <v>0</v>
      </c>
      <c r="F32" s="111">
        <f t="shared" si="7"/>
        <v>0</v>
      </c>
      <c r="G32" s="111">
        <v>0</v>
      </c>
      <c r="H32" s="111">
        <f t="shared" si="8"/>
        <v>71.129166666666663</v>
      </c>
      <c r="I32" s="111">
        <f t="shared" si="2"/>
        <v>9.1666666666666661</v>
      </c>
      <c r="J32" s="111"/>
      <c r="K32" s="111"/>
      <c r="L32" s="111"/>
      <c r="M32" s="116">
        <f t="shared" si="3"/>
        <v>71.129166666666663</v>
      </c>
      <c r="N32" s="111">
        <f t="shared" si="4"/>
        <v>340</v>
      </c>
    </row>
    <row r="33" spans="1:14">
      <c r="A33" s="110">
        <v>13</v>
      </c>
      <c r="B33" s="105">
        <f t="shared" si="5"/>
        <v>43774</v>
      </c>
      <c r="C33" s="111">
        <f>IF(A33&lt;=$F$7,(IF($F$6&lt;=40%,IF($F$9=$I$6,(-$C$20-$F$5*$K$14)/$F$7+IF(A33=$F$7,$F$5*$K$14,0),MINA(((N32-$F$5*$K$14)/($F$7-A33+1)*$F$11),(N32-$F$5*$K$14))+IF(A33=$F$7,$F$5*$K$14,0)),IF(A33=1,F18*(F19-40%),IF($F$9=$I$6,(-$C$20-$F$5*$K$14)/$F$7+IF(A33=$F$7,$F$5*$K$14,0),MINA(((N32-$F$5*$K$14)/($F$7-A33+1)*$F$10),(N32-$F$5*$K$14))+IF(A33=$F$7,$F$5*$K$14,0))))),0)</f>
        <v>55</v>
      </c>
      <c r="D33" s="111">
        <f t="shared" si="1"/>
        <v>13.883333333333333</v>
      </c>
      <c r="E33" s="111">
        <f t="shared" si="6"/>
        <v>0</v>
      </c>
      <c r="F33" s="111">
        <f t="shared" si="7"/>
        <v>0</v>
      </c>
      <c r="G33" s="111">
        <v>0</v>
      </c>
      <c r="H33" s="111">
        <f t="shared" si="8"/>
        <v>68.883333333333326</v>
      </c>
      <c r="I33" s="111">
        <f t="shared" si="2"/>
        <v>9.1666666666666661</v>
      </c>
      <c r="J33" s="111"/>
      <c r="K33" s="111"/>
      <c r="L33" s="111"/>
      <c r="M33" s="116">
        <f t="shared" si="3"/>
        <v>68.883333333333326</v>
      </c>
      <c r="N33" s="111">
        <f t="shared" si="4"/>
        <v>285</v>
      </c>
    </row>
    <row r="34" spans="1:14">
      <c r="A34" s="110">
        <v>14</v>
      </c>
      <c r="B34" s="105">
        <f t="shared" si="5"/>
        <v>43804</v>
      </c>
      <c r="C34" s="111">
        <f t="shared" ref="C34:C97" si="10">IF(A34&lt;=$F$7,(IF($F$6&lt;=40%,IF($F$9=$I$6,(-$C$20-$F$5*$K$14)/$F$7+IF(A34=$F$7,$F$5*$K$14,0),MINA(((N33-$F$5*$K$14)/($F$7-A34+1)*$F$10),(N33-$F$5*$K$14))+IF(A34=$F$7,$F$5*$K$14,0)),IF(A34=1,F19*(F20-40%),IF($F$9=$I$6,(-$C$20-$F$5*$K$14)/$F$7+IF(A34=$F$7,$F$5*$K$14,0),MINA(((N33-$F$5*$K$14)/($F$7-A34+1)*$F$10),(N33-$F$5*$K$14))+IF(A34=$F$7,$F$5*$K$14,0))))),0)</f>
        <v>55</v>
      </c>
      <c r="D34" s="111">
        <f t="shared" si="1"/>
        <v>11.637500000000001</v>
      </c>
      <c r="E34" s="111">
        <f t="shared" si="6"/>
        <v>0</v>
      </c>
      <c r="F34" s="111">
        <f t="shared" si="7"/>
        <v>0</v>
      </c>
      <c r="G34" s="111">
        <v>0</v>
      </c>
      <c r="H34" s="111">
        <f t="shared" si="8"/>
        <v>66.637500000000003</v>
      </c>
      <c r="I34" s="111">
        <f t="shared" si="2"/>
        <v>9.1666666666666661</v>
      </c>
      <c r="J34" s="111"/>
      <c r="K34" s="111"/>
      <c r="L34" s="111"/>
      <c r="M34" s="116">
        <f t="shared" si="3"/>
        <v>66.637500000000003</v>
      </c>
      <c r="N34" s="111">
        <f t="shared" si="4"/>
        <v>230</v>
      </c>
    </row>
    <row r="35" spans="1:14">
      <c r="A35" s="110">
        <v>15</v>
      </c>
      <c r="B35" s="105">
        <f t="shared" si="5"/>
        <v>43835</v>
      </c>
      <c r="C35" s="111">
        <f t="shared" si="10"/>
        <v>55</v>
      </c>
      <c r="D35" s="111">
        <f t="shared" si="1"/>
        <v>9.3916666666666675</v>
      </c>
      <c r="E35" s="111">
        <f t="shared" si="6"/>
        <v>0</v>
      </c>
      <c r="F35" s="111">
        <f t="shared" si="7"/>
        <v>0</v>
      </c>
      <c r="G35" s="111">
        <v>0</v>
      </c>
      <c r="H35" s="111">
        <f t="shared" si="8"/>
        <v>64.391666666666666</v>
      </c>
      <c r="I35" s="111">
        <f t="shared" si="2"/>
        <v>9.1666666666666661</v>
      </c>
      <c r="J35" s="111"/>
      <c r="K35" s="111"/>
      <c r="L35" s="111"/>
      <c r="M35" s="116">
        <f t="shared" si="3"/>
        <v>64.391666666666666</v>
      </c>
      <c r="N35" s="111">
        <f t="shared" si="4"/>
        <v>175</v>
      </c>
    </row>
    <row r="36" spans="1:14">
      <c r="A36" s="110">
        <v>16</v>
      </c>
      <c r="B36" s="105">
        <f t="shared" si="5"/>
        <v>43866</v>
      </c>
      <c r="C36" s="111">
        <f t="shared" si="10"/>
        <v>55</v>
      </c>
      <c r="D36" s="111">
        <f t="shared" si="1"/>
        <v>7.145833333333333</v>
      </c>
      <c r="E36" s="111">
        <f t="shared" si="6"/>
        <v>0</v>
      </c>
      <c r="F36" s="111">
        <f t="shared" si="7"/>
        <v>0</v>
      </c>
      <c r="G36" s="111">
        <v>0</v>
      </c>
      <c r="H36" s="111">
        <f t="shared" si="8"/>
        <v>62.145833333333336</v>
      </c>
      <c r="I36" s="111">
        <f t="shared" si="2"/>
        <v>9.1666666666666661</v>
      </c>
      <c r="J36" s="111"/>
      <c r="K36" s="111"/>
      <c r="L36" s="111"/>
      <c r="M36" s="116">
        <f t="shared" si="3"/>
        <v>62.145833333333336</v>
      </c>
      <c r="N36" s="111">
        <f t="shared" si="4"/>
        <v>120</v>
      </c>
    </row>
    <row r="37" spans="1:14">
      <c r="A37" s="110">
        <v>17</v>
      </c>
      <c r="B37" s="105">
        <f t="shared" si="5"/>
        <v>43895</v>
      </c>
      <c r="C37" s="111">
        <f t="shared" si="10"/>
        <v>55</v>
      </c>
      <c r="D37" s="111">
        <f t="shared" si="1"/>
        <v>4.8999999999999995</v>
      </c>
      <c r="E37" s="111">
        <f t="shared" si="6"/>
        <v>0</v>
      </c>
      <c r="F37" s="111">
        <f t="shared" si="7"/>
        <v>0</v>
      </c>
      <c r="G37" s="111">
        <v>0</v>
      </c>
      <c r="H37" s="111">
        <f t="shared" si="8"/>
        <v>59.9</v>
      </c>
      <c r="I37" s="111">
        <f t="shared" si="2"/>
        <v>9.1666666666666661</v>
      </c>
      <c r="J37" s="111"/>
      <c r="K37" s="111"/>
      <c r="L37" s="111"/>
      <c r="M37" s="116">
        <f t="shared" si="3"/>
        <v>59.9</v>
      </c>
      <c r="N37" s="111">
        <f t="shared" si="4"/>
        <v>65</v>
      </c>
    </row>
    <row r="38" spans="1:14">
      <c r="A38" s="110">
        <v>18</v>
      </c>
      <c r="B38" s="105">
        <f t="shared" si="5"/>
        <v>43926</v>
      </c>
      <c r="C38" s="111">
        <f t="shared" si="10"/>
        <v>65</v>
      </c>
      <c r="D38" s="111">
        <f t="shared" si="1"/>
        <v>2.6541666666666663</v>
      </c>
      <c r="E38" s="111">
        <f t="shared" si="6"/>
        <v>0</v>
      </c>
      <c r="F38" s="111">
        <f t="shared" si="7"/>
        <v>0</v>
      </c>
      <c r="G38" s="111">
        <v>0</v>
      </c>
      <c r="H38" s="111">
        <f t="shared" si="8"/>
        <v>67.654166666666669</v>
      </c>
      <c r="I38" s="111">
        <f t="shared" si="2"/>
        <v>10.833333333333334</v>
      </c>
      <c r="J38" s="111"/>
      <c r="K38" s="111"/>
      <c r="L38" s="111"/>
      <c r="M38" s="116">
        <f t="shared" si="3"/>
        <v>67.654166666666669</v>
      </c>
      <c r="N38" s="111">
        <f t="shared" si="4"/>
        <v>0</v>
      </c>
    </row>
    <row r="39" spans="1:14">
      <c r="A39" s="110">
        <v>19</v>
      </c>
      <c r="B39" s="105">
        <f t="shared" si="5"/>
        <v>43956</v>
      </c>
      <c r="C39" s="110">
        <f t="shared" si="10"/>
        <v>0</v>
      </c>
      <c r="D39" s="111">
        <f t="shared" si="1"/>
        <v>0</v>
      </c>
      <c r="E39" s="111">
        <f t="shared" si="6"/>
        <v>0</v>
      </c>
      <c r="F39" s="111">
        <f t="shared" si="7"/>
        <v>0</v>
      </c>
      <c r="G39" s="111">
        <v>0</v>
      </c>
      <c r="H39" s="110">
        <f t="shared" si="8"/>
        <v>0</v>
      </c>
      <c r="I39" s="111">
        <v>0</v>
      </c>
      <c r="J39" s="110"/>
      <c r="K39" s="110"/>
      <c r="M39" s="116">
        <f t="shared" si="3"/>
        <v>0</v>
      </c>
      <c r="N39" s="110">
        <f t="shared" si="4"/>
        <v>0</v>
      </c>
    </row>
    <row r="40" spans="1:14">
      <c r="A40" s="110">
        <v>20</v>
      </c>
      <c r="B40" s="105">
        <f t="shared" si="5"/>
        <v>43987</v>
      </c>
      <c r="C40" s="110">
        <f t="shared" si="10"/>
        <v>0</v>
      </c>
      <c r="D40" s="111">
        <f t="shared" si="1"/>
        <v>0</v>
      </c>
      <c r="E40" s="111">
        <f t="shared" si="6"/>
        <v>0</v>
      </c>
      <c r="F40" s="111">
        <f t="shared" si="7"/>
        <v>0</v>
      </c>
      <c r="G40" s="111">
        <v>0</v>
      </c>
      <c r="H40" s="110">
        <f t="shared" si="8"/>
        <v>0</v>
      </c>
      <c r="I40" s="111">
        <v>0</v>
      </c>
      <c r="J40" s="110"/>
      <c r="K40" s="110"/>
      <c r="M40" s="116">
        <f t="shared" si="3"/>
        <v>0</v>
      </c>
      <c r="N40" s="110">
        <f t="shared" si="4"/>
        <v>0</v>
      </c>
    </row>
    <row r="41" spans="1:14">
      <c r="A41" s="110">
        <v>21</v>
      </c>
      <c r="B41" s="105">
        <f t="shared" si="5"/>
        <v>44017</v>
      </c>
      <c r="C41" s="110">
        <f t="shared" si="10"/>
        <v>0</v>
      </c>
      <c r="D41" s="111">
        <f t="shared" si="1"/>
        <v>0</v>
      </c>
      <c r="E41" s="111">
        <f t="shared" si="6"/>
        <v>0</v>
      </c>
      <c r="F41" s="111">
        <f t="shared" si="7"/>
        <v>0</v>
      </c>
      <c r="G41" s="111">
        <v>0</v>
      </c>
      <c r="H41" s="110">
        <f t="shared" si="8"/>
        <v>0</v>
      </c>
      <c r="I41" s="111">
        <v>0</v>
      </c>
      <c r="J41" s="110"/>
      <c r="K41" s="110"/>
      <c r="M41" s="116">
        <f t="shared" si="3"/>
        <v>0</v>
      </c>
      <c r="N41" s="110">
        <f t="shared" si="4"/>
        <v>0</v>
      </c>
    </row>
    <row r="42" spans="1:14">
      <c r="A42" s="110">
        <v>22</v>
      </c>
      <c r="B42" s="105">
        <f t="shared" si="5"/>
        <v>44048</v>
      </c>
      <c r="C42" s="110">
        <f t="shared" si="10"/>
        <v>0</v>
      </c>
      <c r="D42" s="111">
        <f t="shared" si="1"/>
        <v>0</v>
      </c>
      <c r="E42" s="111">
        <f t="shared" si="6"/>
        <v>0</v>
      </c>
      <c r="F42" s="111">
        <f t="shared" si="7"/>
        <v>0</v>
      </c>
      <c r="G42" s="111">
        <v>0</v>
      </c>
      <c r="H42" s="110">
        <f t="shared" si="8"/>
        <v>0</v>
      </c>
      <c r="I42" s="111">
        <v>0</v>
      </c>
      <c r="J42" s="110"/>
      <c r="K42" s="110"/>
      <c r="M42" s="116">
        <f t="shared" si="3"/>
        <v>0</v>
      </c>
      <c r="N42" s="110">
        <f t="shared" si="4"/>
        <v>0</v>
      </c>
    </row>
    <row r="43" spans="1:14">
      <c r="A43" s="110">
        <v>23</v>
      </c>
      <c r="B43" s="105">
        <f t="shared" si="5"/>
        <v>44079</v>
      </c>
      <c r="C43" s="110">
        <f t="shared" si="10"/>
        <v>0</v>
      </c>
      <c r="D43" s="111">
        <f t="shared" si="1"/>
        <v>0</v>
      </c>
      <c r="E43" s="111">
        <f t="shared" si="6"/>
        <v>0</v>
      </c>
      <c r="F43" s="111">
        <f t="shared" si="7"/>
        <v>0</v>
      </c>
      <c r="G43" s="111">
        <v>0</v>
      </c>
      <c r="H43" s="110">
        <f t="shared" si="8"/>
        <v>0</v>
      </c>
      <c r="I43" s="111">
        <v>0</v>
      </c>
      <c r="J43" s="110"/>
      <c r="K43" s="110"/>
      <c r="M43" s="116">
        <f t="shared" si="3"/>
        <v>0</v>
      </c>
      <c r="N43" s="110">
        <f t="shared" si="4"/>
        <v>0</v>
      </c>
    </row>
    <row r="44" spans="1:14">
      <c r="A44" s="110">
        <v>24</v>
      </c>
      <c r="B44" s="105">
        <f t="shared" si="5"/>
        <v>44109</v>
      </c>
      <c r="C44" s="110">
        <f t="shared" si="10"/>
        <v>0</v>
      </c>
      <c r="D44" s="111">
        <f t="shared" si="1"/>
        <v>0</v>
      </c>
      <c r="E44" s="111">
        <f t="shared" si="6"/>
        <v>0</v>
      </c>
      <c r="F44" s="111">
        <f t="shared" si="7"/>
        <v>0</v>
      </c>
      <c r="G44" s="111">
        <v>0</v>
      </c>
      <c r="H44" s="110">
        <f t="shared" si="8"/>
        <v>0</v>
      </c>
      <c r="I44" s="111">
        <v>0</v>
      </c>
      <c r="J44" s="110"/>
      <c r="K44" s="110"/>
      <c r="M44" s="116">
        <f t="shared" si="3"/>
        <v>0</v>
      </c>
      <c r="N44" s="110">
        <f t="shared" si="4"/>
        <v>0</v>
      </c>
    </row>
    <row r="45" spans="1:14">
      <c r="A45" s="110">
        <v>25</v>
      </c>
      <c r="B45" s="105">
        <f t="shared" si="5"/>
        <v>44140</v>
      </c>
      <c r="C45" s="110">
        <f t="shared" si="10"/>
        <v>0</v>
      </c>
      <c r="D45" s="111">
        <f t="shared" si="1"/>
        <v>0</v>
      </c>
      <c r="E45" s="111">
        <f t="shared" si="6"/>
        <v>0</v>
      </c>
      <c r="F45" s="111">
        <f t="shared" si="7"/>
        <v>0</v>
      </c>
      <c r="G45" s="111">
        <v>0</v>
      </c>
      <c r="H45" s="110">
        <f t="shared" si="8"/>
        <v>0</v>
      </c>
      <c r="I45" s="111">
        <v>0</v>
      </c>
      <c r="J45" s="110"/>
      <c r="K45" s="110"/>
      <c r="M45" s="116">
        <f t="shared" si="3"/>
        <v>0</v>
      </c>
      <c r="N45" s="110">
        <f t="shared" si="4"/>
        <v>0</v>
      </c>
    </row>
    <row r="46" spans="1:14">
      <c r="A46" s="110">
        <v>26</v>
      </c>
      <c r="B46" s="105">
        <f t="shared" si="5"/>
        <v>44170</v>
      </c>
      <c r="C46" s="110">
        <f t="shared" si="10"/>
        <v>0</v>
      </c>
      <c r="D46" s="111">
        <f t="shared" si="1"/>
        <v>0</v>
      </c>
      <c r="E46" s="111">
        <f t="shared" si="6"/>
        <v>0</v>
      </c>
      <c r="F46" s="111">
        <f t="shared" si="7"/>
        <v>0</v>
      </c>
      <c r="G46" s="111">
        <v>0</v>
      </c>
      <c r="H46" s="110">
        <f t="shared" si="8"/>
        <v>0</v>
      </c>
      <c r="I46" s="111">
        <v>0</v>
      </c>
      <c r="J46" s="110"/>
      <c r="K46" s="110"/>
      <c r="M46" s="116">
        <f t="shared" si="3"/>
        <v>0</v>
      </c>
      <c r="N46" s="110">
        <f t="shared" si="4"/>
        <v>0</v>
      </c>
    </row>
    <row r="47" spans="1:14">
      <c r="A47" s="110">
        <v>27</v>
      </c>
      <c r="B47" s="105">
        <f t="shared" si="5"/>
        <v>44201</v>
      </c>
      <c r="C47" s="110">
        <f t="shared" si="10"/>
        <v>0</v>
      </c>
      <c r="D47" s="111">
        <f t="shared" si="1"/>
        <v>0</v>
      </c>
      <c r="E47" s="111">
        <f t="shared" si="6"/>
        <v>0</v>
      </c>
      <c r="F47" s="111">
        <f t="shared" si="7"/>
        <v>0</v>
      </c>
      <c r="G47" s="111">
        <v>0</v>
      </c>
      <c r="H47" s="110">
        <f t="shared" si="8"/>
        <v>0</v>
      </c>
      <c r="I47" s="111">
        <v>0</v>
      </c>
      <c r="J47" s="110"/>
      <c r="K47" s="110"/>
      <c r="M47" s="116">
        <f t="shared" si="3"/>
        <v>0</v>
      </c>
      <c r="N47" s="110">
        <f t="shared" si="4"/>
        <v>0</v>
      </c>
    </row>
    <row r="48" spans="1:14">
      <c r="A48" s="110">
        <v>28</v>
      </c>
      <c r="B48" s="105">
        <f t="shared" si="5"/>
        <v>44232</v>
      </c>
      <c r="C48" s="110">
        <f t="shared" si="10"/>
        <v>0</v>
      </c>
      <c r="D48" s="111">
        <f t="shared" si="1"/>
        <v>0</v>
      </c>
      <c r="E48" s="111">
        <f t="shared" si="6"/>
        <v>0</v>
      </c>
      <c r="F48" s="111">
        <f t="shared" si="7"/>
        <v>0</v>
      </c>
      <c r="G48" s="111">
        <v>0</v>
      </c>
      <c r="H48" s="110">
        <f t="shared" si="8"/>
        <v>0</v>
      </c>
      <c r="I48" s="111">
        <v>0</v>
      </c>
      <c r="J48" s="110"/>
      <c r="K48" s="110"/>
      <c r="M48" s="116">
        <f t="shared" si="3"/>
        <v>0</v>
      </c>
      <c r="N48" s="110">
        <f t="shared" si="4"/>
        <v>0</v>
      </c>
    </row>
    <row r="49" spans="1:14">
      <c r="A49" s="110">
        <v>29</v>
      </c>
      <c r="B49" s="105">
        <f t="shared" si="5"/>
        <v>44260</v>
      </c>
      <c r="C49" s="110">
        <f t="shared" si="10"/>
        <v>0</v>
      </c>
      <c r="D49" s="111">
        <f t="shared" si="1"/>
        <v>0</v>
      </c>
      <c r="E49" s="111">
        <f t="shared" si="6"/>
        <v>0</v>
      </c>
      <c r="F49" s="111">
        <f t="shared" si="7"/>
        <v>0</v>
      </c>
      <c r="G49" s="111">
        <v>0</v>
      </c>
      <c r="H49" s="110">
        <f t="shared" si="8"/>
        <v>0</v>
      </c>
      <c r="I49" s="111">
        <v>0</v>
      </c>
      <c r="J49" s="110"/>
      <c r="K49" s="110"/>
      <c r="M49" s="116">
        <f t="shared" si="3"/>
        <v>0</v>
      </c>
      <c r="N49" s="110">
        <f t="shared" si="4"/>
        <v>0</v>
      </c>
    </row>
    <row r="50" spans="1:14">
      <c r="A50" s="110">
        <v>30</v>
      </c>
      <c r="B50" s="105">
        <f t="shared" si="5"/>
        <v>44291</v>
      </c>
      <c r="C50" s="110">
        <f t="shared" si="10"/>
        <v>0</v>
      </c>
      <c r="D50" s="111">
        <f t="shared" si="1"/>
        <v>0</v>
      </c>
      <c r="E50" s="111">
        <f t="shared" si="6"/>
        <v>0</v>
      </c>
      <c r="F50" s="111">
        <f t="shared" si="7"/>
        <v>0</v>
      </c>
      <c r="G50" s="111">
        <v>0</v>
      </c>
      <c r="H50" s="110">
        <f t="shared" si="8"/>
        <v>0</v>
      </c>
      <c r="I50" s="111">
        <v>0</v>
      </c>
      <c r="J50" s="110"/>
      <c r="K50" s="110"/>
      <c r="M50" s="116">
        <f t="shared" si="3"/>
        <v>0</v>
      </c>
      <c r="N50" s="110">
        <f t="shared" si="4"/>
        <v>0</v>
      </c>
    </row>
    <row r="51" spans="1:14">
      <c r="A51" s="110">
        <v>31</v>
      </c>
      <c r="B51" s="105">
        <f t="shared" si="5"/>
        <v>44321</v>
      </c>
      <c r="C51" s="110">
        <f t="shared" si="10"/>
        <v>0</v>
      </c>
      <c r="D51" s="111">
        <f t="shared" si="1"/>
        <v>0</v>
      </c>
      <c r="E51" s="111">
        <f t="shared" si="6"/>
        <v>0</v>
      </c>
      <c r="F51" s="111">
        <f t="shared" si="7"/>
        <v>0</v>
      </c>
      <c r="G51" s="111">
        <v>0</v>
      </c>
      <c r="H51" s="110">
        <f t="shared" si="8"/>
        <v>0</v>
      </c>
      <c r="I51" s="111">
        <v>0</v>
      </c>
      <c r="J51" s="110"/>
      <c r="K51" s="110"/>
      <c r="M51" s="116">
        <f t="shared" si="3"/>
        <v>0</v>
      </c>
      <c r="N51" s="110">
        <f t="shared" si="4"/>
        <v>0</v>
      </c>
    </row>
    <row r="52" spans="1:14">
      <c r="A52" s="110">
        <v>32</v>
      </c>
      <c r="B52" s="105">
        <f t="shared" si="5"/>
        <v>44352</v>
      </c>
      <c r="C52" s="110">
        <f t="shared" si="10"/>
        <v>0</v>
      </c>
      <c r="D52" s="111">
        <f t="shared" si="1"/>
        <v>0</v>
      </c>
      <c r="E52" s="111">
        <f t="shared" si="6"/>
        <v>0</v>
      </c>
      <c r="F52" s="111">
        <f t="shared" si="7"/>
        <v>0</v>
      </c>
      <c r="G52" s="111">
        <v>0</v>
      </c>
      <c r="H52" s="110">
        <f t="shared" si="8"/>
        <v>0</v>
      </c>
      <c r="I52" s="111">
        <v>0</v>
      </c>
      <c r="J52" s="110"/>
      <c r="K52" s="110"/>
      <c r="M52" s="116">
        <f t="shared" si="3"/>
        <v>0</v>
      </c>
      <c r="N52" s="110">
        <f t="shared" si="4"/>
        <v>0</v>
      </c>
    </row>
    <row r="53" spans="1:14">
      <c r="A53" s="110">
        <v>33</v>
      </c>
      <c r="B53" s="105">
        <f t="shared" si="5"/>
        <v>44382</v>
      </c>
      <c r="C53" s="110">
        <f t="shared" si="10"/>
        <v>0</v>
      </c>
      <c r="D53" s="111">
        <f t="shared" si="1"/>
        <v>0</v>
      </c>
      <c r="E53" s="111">
        <f t="shared" si="6"/>
        <v>0</v>
      </c>
      <c r="F53" s="111">
        <f t="shared" si="7"/>
        <v>0</v>
      </c>
      <c r="G53" s="111">
        <v>0</v>
      </c>
      <c r="H53" s="110">
        <f t="shared" si="8"/>
        <v>0</v>
      </c>
      <c r="I53" s="111">
        <v>0</v>
      </c>
      <c r="J53" s="110"/>
      <c r="K53" s="110"/>
      <c r="M53" s="116">
        <f t="shared" si="3"/>
        <v>0</v>
      </c>
      <c r="N53" s="110">
        <f t="shared" si="4"/>
        <v>0</v>
      </c>
    </row>
    <row r="54" spans="1:14">
      <c r="A54" s="110">
        <v>34</v>
      </c>
      <c r="B54" s="105">
        <f t="shared" si="5"/>
        <v>44413</v>
      </c>
      <c r="C54" s="110">
        <f t="shared" si="10"/>
        <v>0</v>
      </c>
      <c r="D54" s="111">
        <f t="shared" si="1"/>
        <v>0</v>
      </c>
      <c r="E54" s="111">
        <f t="shared" si="6"/>
        <v>0</v>
      </c>
      <c r="F54" s="111">
        <f t="shared" si="7"/>
        <v>0</v>
      </c>
      <c r="G54" s="111">
        <v>0</v>
      </c>
      <c r="H54" s="110">
        <f t="shared" si="8"/>
        <v>0</v>
      </c>
      <c r="I54" s="111">
        <v>0</v>
      </c>
      <c r="J54" s="110"/>
      <c r="K54" s="110"/>
      <c r="M54" s="116">
        <f t="shared" si="3"/>
        <v>0</v>
      </c>
      <c r="N54" s="110">
        <f t="shared" si="4"/>
        <v>0</v>
      </c>
    </row>
    <row r="55" spans="1:14">
      <c r="A55" s="110">
        <v>35</v>
      </c>
      <c r="B55" s="105">
        <f t="shared" si="5"/>
        <v>44444</v>
      </c>
      <c r="C55" s="110">
        <f t="shared" si="10"/>
        <v>0</v>
      </c>
      <c r="D55" s="111">
        <f t="shared" si="1"/>
        <v>0</v>
      </c>
      <c r="E55" s="111">
        <f t="shared" si="6"/>
        <v>0</v>
      </c>
      <c r="F55" s="111">
        <f t="shared" si="7"/>
        <v>0</v>
      </c>
      <c r="G55" s="111">
        <v>0</v>
      </c>
      <c r="H55" s="110">
        <f t="shared" si="8"/>
        <v>0</v>
      </c>
      <c r="I55" s="111">
        <v>0</v>
      </c>
      <c r="J55" s="110"/>
      <c r="K55" s="110"/>
      <c r="M55" s="116">
        <f t="shared" si="3"/>
        <v>0</v>
      </c>
      <c r="N55" s="110">
        <f t="shared" si="4"/>
        <v>0</v>
      </c>
    </row>
    <row r="56" spans="1:14">
      <c r="A56" s="110">
        <v>36</v>
      </c>
      <c r="B56" s="105">
        <f t="shared" si="5"/>
        <v>44474</v>
      </c>
      <c r="C56" s="110">
        <f t="shared" si="10"/>
        <v>0</v>
      </c>
      <c r="D56" s="111">
        <f t="shared" si="1"/>
        <v>0</v>
      </c>
      <c r="E56" s="111">
        <f t="shared" si="6"/>
        <v>0</v>
      </c>
      <c r="F56" s="111">
        <f t="shared" si="7"/>
        <v>0</v>
      </c>
      <c r="G56" s="111">
        <v>0</v>
      </c>
      <c r="H56" s="110">
        <f t="shared" si="8"/>
        <v>0</v>
      </c>
      <c r="I56" s="111">
        <v>0</v>
      </c>
      <c r="J56" s="110"/>
      <c r="K56" s="110"/>
      <c r="M56" s="116">
        <f t="shared" si="3"/>
        <v>0</v>
      </c>
      <c r="N56" s="110">
        <f t="shared" si="4"/>
        <v>0</v>
      </c>
    </row>
    <row r="57" spans="1:14">
      <c r="A57" s="110">
        <v>37</v>
      </c>
      <c r="B57" s="105">
        <f t="shared" si="5"/>
        <v>44505</v>
      </c>
      <c r="C57" s="110">
        <f t="shared" si="10"/>
        <v>0</v>
      </c>
      <c r="D57" s="111">
        <f t="shared" si="1"/>
        <v>0</v>
      </c>
      <c r="E57" s="111">
        <f t="shared" si="6"/>
        <v>0</v>
      </c>
      <c r="F57" s="111">
        <f t="shared" si="7"/>
        <v>0</v>
      </c>
      <c r="G57" s="111">
        <v>0</v>
      </c>
      <c r="H57" s="110">
        <f t="shared" si="8"/>
        <v>0</v>
      </c>
      <c r="I57" s="111">
        <v>0</v>
      </c>
      <c r="J57" s="110"/>
      <c r="K57" s="110"/>
      <c r="M57" s="116">
        <f t="shared" si="3"/>
        <v>0</v>
      </c>
      <c r="N57" s="110">
        <f t="shared" si="4"/>
        <v>0</v>
      </c>
    </row>
    <row r="58" spans="1:14">
      <c r="A58" s="110">
        <v>38</v>
      </c>
      <c r="B58" s="105">
        <f t="shared" si="5"/>
        <v>44535</v>
      </c>
      <c r="C58" s="110">
        <f t="shared" si="10"/>
        <v>0</v>
      </c>
      <c r="D58" s="111">
        <f t="shared" si="1"/>
        <v>0</v>
      </c>
      <c r="E58" s="111">
        <f t="shared" si="6"/>
        <v>0</v>
      </c>
      <c r="F58" s="111">
        <f t="shared" si="7"/>
        <v>0</v>
      </c>
      <c r="G58" s="111">
        <v>0</v>
      </c>
      <c r="H58" s="110">
        <f t="shared" si="8"/>
        <v>0</v>
      </c>
      <c r="I58" s="111">
        <v>0</v>
      </c>
      <c r="J58" s="110"/>
      <c r="K58" s="110"/>
      <c r="M58" s="116">
        <f t="shared" si="3"/>
        <v>0</v>
      </c>
      <c r="N58" s="110">
        <f t="shared" si="4"/>
        <v>0</v>
      </c>
    </row>
    <row r="59" spans="1:14">
      <c r="A59" s="110">
        <v>39</v>
      </c>
      <c r="B59" s="105">
        <f t="shared" si="5"/>
        <v>44566</v>
      </c>
      <c r="C59" s="110">
        <f t="shared" si="10"/>
        <v>0</v>
      </c>
      <c r="D59" s="111">
        <f t="shared" si="1"/>
        <v>0</v>
      </c>
      <c r="E59" s="111">
        <f t="shared" si="6"/>
        <v>0</v>
      </c>
      <c r="F59" s="111">
        <f t="shared" si="7"/>
        <v>0</v>
      </c>
      <c r="G59" s="111">
        <v>0</v>
      </c>
      <c r="H59" s="110">
        <f t="shared" si="8"/>
        <v>0</v>
      </c>
      <c r="I59" s="111">
        <v>0</v>
      </c>
      <c r="J59" s="110"/>
      <c r="K59" s="110"/>
      <c r="M59" s="116">
        <f t="shared" si="3"/>
        <v>0</v>
      </c>
      <c r="N59" s="110">
        <f t="shared" si="4"/>
        <v>0</v>
      </c>
    </row>
    <row r="60" spans="1:14">
      <c r="A60" s="110">
        <v>40</v>
      </c>
      <c r="B60" s="105">
        <f t="shared" si="5"/>
        <v>44597</v>
      </c>
      <c r="C60" s="110">
        <f t="shared" si="10"/>
        <v>0</v>
      </c>
      <c r="D60" s="111">
        <f t="shared" si="1"/>
        <v>0</v>
      </c>
      <c r="E60" s="111">
        <f t="shared" si="6"/>
        <v>0</v>
      </c>
      <c r="F60" s="111">
        <f t="shared" si="7"/>
        <v>0</v>
      </c>
      <c r="G60" s="111">
        <v>0</v>
      </c>
      <c r="H60" s="110">
        <f t="shared" si="8"/>
        <v>0</v>
      </c>
      <c r="I60" s="111">
        <v>0</v>
      </c>
      <c r="J60" s="110"/>
      <c r="K60" s="110"/>
      <c r="M60" s="116">
        <f t="shared" si="3"/>
        <v>0</v>
      </c>
      <c r="N60" s="110">
        <f t="shared" si="4"/>
        <v>0</v>
      </c>
    </row>
    <row r="61" spans="1:14">
      <c r="A61" s="110">
        <v>41</v>
      </c>
      <c r="B61" s="105">
        <f t="shared" si="5"/>
        <v>44625</v>
      </c>
      <c r="C61" s="110">
        <f t="shared" si="10"/>
        <v>0</v>
      </c>
      <c r="D61" s="111">
        <f t="shared" si="1"/>
        <v>0</v>
      </c>
      <c r="E61" s="111">
        <f t="shared" si="6"/>
        <v>0</v>
      </c>
      <c r="F61" s="111">
        <f t="shared" si="7"/>
        <v>0</v>
      </c>
      <c r="G61" s="111">
        <v>0</v>
      </c>
      <c r="H61" s="110">
        <f t="shared" si="8"/>
        <v>0</v>
      </c>
      <c r="I61" s="111">
        <v>0</v>
      </c>
      <c r="J61" s="110"/>
      <c r="K61" s="110"/>
      <c r="M61" s="116">
        <f t="shared" si="3"/>
        <v>0</v>
      </c>
      <c r="N61" s="110">
        <f t="shared" si="4"/>
        <v>0</v>
      </c>
    </row>
    <row r="62" spans="1:14">
      <c r="A62" s="110">
        <v>42</v>
      </c>
      <c r="B62" s="105">
        <f t="shared" si="5"/>
        <v>44656</v>
      </c>
      <c r="C62" s="110">
        <f t="shared" si="10"/>
        <v>0</v>
      </c>
      <c r="D62" s="111">
        <f t="shared" si="1"/>
        <v>0</v>
      </c>
      <c r="E62" s="111">
        <f t="shared" si="6"/>
        <v>0</v>
      </c>
      <c r="F62" s="111">
        <f t="shared" si="7"/>
        <v>0</v>
      </c>
      <c r="G62" s="111">
        <v>0</v>
      </c>
      <c r="H62" s="110">
        <f t="shared" si="8"/>
        <v>0</v>
      </c>
      <c r="I62" s="111">
        <v>0</v>
      </c>
      <c r="J62" s="110"/>
      <c r="K62" s="110"/>
      <c r="M62" s="116">
        <f t="shared" si="3"/>
        <v>0</v>
      </c>
      <c r="N62" s="110">
        <f t="shared" si="4"/>
        <v>0</v>
      </c>
    </row>
    <row r="63" spans="1:14">
      <c r="A63" s="110">
        <v>43</v>
      </c>
      <c r="B63" s="105">
        <f t="shared" si="5"/>
        <v>44686</v>
      </c>
      <c r="C63" s="110">
        <f t="shared" si="10"/>
        <v>0</v>
      </c>
      <c r="D63" s="111">
        <f t="shared" si="1"/>
        <v>0</v>
      </c>
      <c r="E63" s="111">
        <f t="shared" si="6"/>
        <v>0</v>
      </c>
      <c r="F63" s="111">
        <f t="shared" si="7"/>
        <v>0</v>
      </c>
      <c r="G63" s="111">
        <v>0</v>
      </c>
      <c r="H63" s="110">
        <f t="shared" si="8"/>
        <v>0</v>
      </c>
      <c r="I63" s="111">
        <v>0</v>
      </c>
      <c r="J63" s="110"/>
      <c r="K63" s="110"/>
      <c r="M63" s="116">
        <f t="shared" si="3"/>
        <v>0</v>
      </c>
      <c r="N63" s="110">
        <f t="shared" si="4"/>
        <v>0</v>
      </c>
    </row>
    <row r="64" spans="1:14">
      <c r="A64" s="110">
        <v>44</v>
      </c>
      <c r="B64" s="105">
        <f t="shared" si="5"/>
        <v>44717</v>
      </c>
      <c r="C64" s="110">
        <f t="shared" si="10"/>
        <v>0</v>
      </c>
      <c r="D64" s="111">
        <f t="shared" si="1"/>
        <v>0</v>
      </c>
      <c r="E64" s="111">
        <f t="shared" si="6"/>
        <v>0</v>
      </c>
      <c r="F64" s="111">
        <f t="shared" si="7"/>
        <v>0</v>
      </c>
      <c r="G64" s="111">
        <v>0</v>
      </c>
      <c r="H64" s="110">
        <f t="shared" si="8"/>
        <v>0</v>
      </c>
      <c r="I64" s="111">
        <v>0</v>
      </c>
      <c r="J64" s="110"/>
      <c r="K64" s="110"/>
      <c r="M64" s="116">
        <f t="shared" si="3"/>
        <v>0</v>
      </c>
      <c r="N64" s="110">
        <f t="shared" si="4"/>
        <v>0</v>
      </c>
    </row>
    <row r="65" spans="1:14">
      <c r="A65" s="110">
        <v>45</v>
      </c>
      <c r="B65" s="105">
        <f t="shared" si="5"/>
        <v>44747</v>
      </c>
      <c r="C65" s="110">
        <f t="shared" si="10"/>
        <v>0</v>
      </c>
      <c r="D65" s="111">
        <f t="shared" si="1"/>
        <v>0</v>
      </c>
      <c r="E65" s="111">
        <f t="shared" si="6"/>
        <v>0</v>
      </c>
      <c r="F65" s="111">
        <f t="shared" si="7"/>
        <v>0</v>
      </c>
      <c r="G65" s="111">
        <v>0</v>
      </c>
      <c r="H65" s="110">
        <f t="shared" si="8"/>
        <v>0</v>
      </c>
      <c r="I65" s="111">
        <v>0</v>
      </c>
      <c r="J65" s="110"/>
      <c r="K65" s="110"/>
      <c r="M65" s="116">
        <f t="shared" si="3"/>
        <v>0</v>
      </c>
      <c r="N65" s="110">
        <f t="shared" si="4"/>
        <v>0</v>
      </c>
    </row>
    <row r="66" spans="1:14">
      <c r="A66" s="110">
        <v>46</v>
      </c>
      <c r="B66" s="105">
        <f t="shared" si="5"/>
        <v>44778</v>
      </c>
      <c r="C66" s="110">
        <f t="shared" si="10"/>
        <v>0</v>
      </c>
      <c r="D66" s="111">
        <f t="shared" si="1"/>
        <v>0</v>
      </c>
      <c r="E66" s="111">
        <f t="shared" si="6"/>
        <v>0</v>
      </c>
      <c r="F66" s="111">
        <f t="shared" si="7"/>
        <v>0</v>
      </c>
      <c r="G66" s="111">
        <v>0</v>
      </c>
      <c r="H66" s="110">
        <f t="shared" si="8"/>
        <v>0</v>
      </c>
      <c r="I66" s="111">
        <v>0</v>
      </c>
      <c r="J66" s="110"/>
      <c r="K66" s="110"/>
      <c r="M66" s="116">
        <f t="shared" si="3"/>
        <v>0</v>
      </c>
      <c r="N66" s="110">
        <f t="shared" si="4"/>
        <v>0</v>
      </c>
    </row>
    <row r="67" spans="1:14">
      <c r="A67" s="110">
        <v>47</v>
      </c>
      <c r="B67" s="105">
        <f t="shared" si="5"/>
        <v>44809</v>
      </c>
      <c r="C67" s="110">
        <f t="shared" si="10"/>
        <v>0</v>
      </c>
      <c r="D67" s="111">
        <f t="shared" si="1"/>
        <v>0</v>
      </c>
      <c r="E67" s="111">
        <f t="shared" si="6"/>
        <v>0</v>
      </c>
      <c r="F67" s="111">
        <f t="shared" si="7"/>
        <v>0</v>
      </c>
      <c r="G67" s="111">
        <v>0</v>
      </c>
      <c r="H67" s="110">
        <f t="shared" si="8"/>
        <v>0</v>
      </c>
      <c r="I67" s="111">
        <v>0</v>
      </c>
      <c r="J67" s="110"/>
      <c r="K67" s="110"/>
      <c r="M67" s="116">
        <f t="shared" si="3"/>
        <v>0</v>
      </c>
      <c r="N67" s="110">
        <f t="shared" si="4"/>
        <v>0</v>
      </c>
    </row>
    <row r="68" spans="1:14">
      <c r="A68" s="110">
        <v>48</v>
      </c>
      <c r="B68" s="105">
        <f t="shared" si="5"/>
        <v>44839</v>
      </c>
      <c r="C68" s="110">
        <f t="shared" si="10"/>
        <v>0</v>
      </c>
      <c r="D68" s="111">
        <f t="shared" si="1"/>
        <v>0</v>
      </c>
      <c r="E68" s="111">
        <f t="shared" si="6"/>
        <v>0</v>
      </c>
      <c r="F68" s="111">
        <f t="shared" si="7"/>
        <v>0</v>
      </c>
      <c r="G68" s="111">
        <v>0</v>
      </c>
      <c r="H68" s="110">
        <f t="shared" si="8"/>
        <v>0</v>
      </c>
      <c r="I68" s="111">
        <v>0</v>
      </c>
      <c r="J68" s="110"/>
      <c r="K68" s="110"/>
      <c r="M68" s="116">
        <f t="shared" si="3"/>
        <v>0</v>
      </c>
      <c r="N68" s="110">
        <f t="shared" si="4"/>
        <v>0</v>
      </c>
    </row>
    <row r="69" spans="1:14">
      <c r="A69" s="110">
        <v>49</v>
      </c>
      <c r="B69" s="105">
        <f t="shared" si="5"/>
        <v>44870</v>
      </c>
      <c r="C69" s="110">
        <f t="shared" si="10"/>
        <v>0</v>
      </c>
      <c r="D69" s="111">
        <f t="shared" si="1"/>
        <v>0</v>
      </c>
      <c r="E69" s="111">
        <f t="shared" si="6"/>
        <v>0</v>
      </c>
      <c r="F69" s="111">
        <f t="shared" si="7"/>
        <v>0</v>
      </c>
      <c r="G69" s="111">
        <f t="shared" ref="G69:G104" si="11">IF(A69&lt;=$F$7,$F$5*VLOOKUP(ROUNDUP(A69/12,0),$O$7:$R$14,4,0)/12,0)-F69</f>
        <v>0</v>
      </c>
      <c r="H69" s="110">
        <f t="shared" si="8"/>
        <v>0</v>
      </c>
      <c r="I69" s="111">
        <v>0</v>
      </c>
      <c r="J69" s="110"/>
      <c r="K69" s="110"/>
      <c r="M69" s="116">
        <f t="shared" si="3"/>
        <v>0</v>
      </c>
      <c r="N69" s="110">
        <f t="shared" si="4"/>
        <v>0</v>
      </c>
    </row>
    <row r="70" spans="1:14">
      <c r="A70" s="110">
        <v>50</v>
      </c>
      <c r="B70" s="105">
        <f t="shared" si="5"/>
        <v>44900</v>
      </c>
      <c r="C70" s="110">
        <f t="shared" si="10"/>
        <v>0</v>
      </c>
      <c r="D70" s="111">
        <f t="shared" si="1"/>
        <v>0</v>
      </c>
      <c r="E70" s="111">
        <f t="shared" si="6"/>
        <v>0</v>
      </c>
      <c r="F70" s="111">
        <f t="shared" si="7"/>
        <v>0</v>
      </c>
      <c r="G70" s="111">
        <f t="shared" si="11"/>
        <v>0</v>
      </c>
      <c r="H70" s="110">
        <f t="shared" si="8"/>
        <v>0</v>
      </c>
      <c r="I70" s="111">
        <v>0</v>
      </c>
      <c r="J70" s="110"/>
      <c r="K70" s="110"/>
      <c r="M70" s="116">
        <f t="shared" si="3"/>
        <v>0</v>
      </c>
      <c r="N70" s="110">
        <f t="shared" si="4"/>
        <v>0</v>
      </c>
    </row>
    <row r="71" spans="1:14">
      <c r="A71" s="110">
        <v>51</v>
      </c>
      <c r="B71" s="105">
        <f t="shared" si="5"/>
        <v>44931</v>
      </c>
      <c r="C71" s="110">
        <f t="shared" si="10"/>
        <v>0</v>
      </c>
      <c r="D71" s="111">
        <f t="shared" si="1"/>
        <v>0</v>
      </c>
      <c r="E71" s="111">
        <f t="shared" si="6"/>
        <v>0</v>
      </c>
      <c r="F71" s="111">
        <f t="shared" si="7"/>
        <v>0</v>
      </c>
      <c r="G71" s="111">
        <f t="shared" si="11"/>
        <v>0</v>
      </c>
      <c r="H71" s="110">
        <f t="shared" si="8"/>
        <v>0</v>
      </c>
      <c r="I71" s="111">
        <v>0</v>
      </c>
      <c r="J71" s="110"/>
      <c r="K71" s="110"/>
      <c r="M71" s="116">
        <f t="shared" si="3"/>
        <v>0</v>
      </c>
      <c r="N71" s="110">
        <f t="shared" si="4"/>
        <v>0</v>
      </c>
    </row>
    <row r="72" spans="1:14">
      <c r="A72" s="110">
        <v>52</v>
      </c>
      <c r="B72" s="105">
        <f t="shared" si="5"/>
        <v>44962</v>
      </c>
      <c r="C72" s="110">
        <f t="shared" si="10"/>
        <v>0</v>
      </c>
      <c r="D72" s="111">
        <f t="shared" si="1"/>
        <v>0</v>
      </c>
      <c r="E72" s="111">
        <f t="shared" si="6"/>
        <v>0</v>
      </c>
      <c r="F72" s="111">
        <f t="shared" si="7"/>
        <v>0</v>
      </c>
      <c r="G72" s="111">
        <f t="shared" si="11"/>
        <v>0</v>
      </c>
      <c r="H72" s="110">
        <f t="shared" si="8"/>
        <v>0</v>
      </c>
      <c r="I72" s="111">
        <v>0</v>
      </c>
      <c r="J72" s="110"/>
      <c r="K72" s="110"/>
      <c r="L72" s="66">
        <v>0</v>
      </c>
      <c r="M72" s="116">
        <f t="shared" si="3"/>
        <v>0</v>
      </c>
      <c r="N72" s="110">
        <f t="shared" si="4"/>
        <v>0</v>
      </c>
    </row>
    <row r="73" spans="1:14">
      <c r="A73" s="110">
        <v>53</v>
      </c>
      <c r="B73" s="105">
        <f t="shared" si="5"/>
        <v>44990</v>
      </c>
      <c r="C73" s="110">
        <f t="shared" si="10"/>
        <v>0</v>
      </c>
      <c r="D73" s="111">
        <f t="shared" si="1"/>
        <v>0</v>
      </c>
      <c r="E73" s="111">
        <f t="shared" si="6"/>
        <v>0</v>
      </c>
      <c r="F73" s="111">
        <f t="shared" si="7"/>
        <v>0</v>
      </c>
      <c r="G73" s="111">
        <f t="shared" si="11"/>
        <v>0</v>
      </c>
      <c r="H73" s="110">
        <f t="shared" si="8"/>
        <v>0</v>
      </c>
      <c r="I73" s="111">
        <v>0</v>
      </c>
      <c r="J73" s="110"/>
      <c r="K73" s="110"/>
      <c r="M73" s="116">
        <f t="shared" si="3"/>
        <v>0</v>
      </c>
      <c r="N73" s="110">
        <f t="shared" si="4"/>
        <v>0</v>
      </c>
    </row>
    <row r="74" spans="1:14">
      <c r="A74" s="110">
        <v>54</v>
      </c>
      <c r="B74" s="105">
        <f t="shared" si="5"/>
        <v>45021</v>
      </c>
      <c r="C74" s="110">
        <f t="shared" si="10"/>
        <v>0</v>
      </c>
      <c r="D74" s="111">
        <f t="shared" si="1"/>
        <v>0</v>
      </c>
      <c r="E74" s="111">
        <f t="shared" si="6"/>
        <v>0</v>
      </c>
      <c r="F74" s="111">
        <f t="shared" si="7"/>
        <v>0</v>
      </c>
      <c r="G74" s="111">
        <f t="shared" si="11"/>
        <v>0</v>
      </c>
      <c r="H74" s="110">
        <f t="shared" si="8"/>
        <v>0</v>
      </c>
      <c r="I74" s="111">
        <v>0</v>
      </c>
      <c r="J74" s="110"/>
      <c r="K74" s="110"/>
      <c r="M74" s="116">
        <f t="shared" si="3"/>
        <v>0</v>
      </c>
      <c r="N74" s="110">
        <f t="shared" si="4"/>
        <v>0</v>
      </c>
    </row>
    <row r="75" spans="1:14">
      <c r="A75" s="110">
        <v>55</v>
      </c>
      <c r="B75" s="105">
        <f t="shared" si="5"/>
        <v>45051</v>
      </c>
      <c r="C75" s="110">
        <f t="shared" si="10"/>
        <v>0</v>
      </c>
      <c r="D75" s="111">
        <f t="shared" si="1"/>
        <v>0</v>
      </c>
      <c r="E75" s="111">
        <f t="shared" si="6"/>
        <v>0</v>
      </c>
      <c r="F75" s="111">
        <f t="shared" si="7"/>
        <v>0</v>
      </c>
      <c r="G75" s="111">
        <f t="shared" si="11"/>
        <v>0</v>
      </c>
      <c r="H75" s="110">
        <f t="shared" si="8"/>
        <v>0</v>
      </c>
      <c r="I75" s="111">
        <v>0</v>
      </c>
      <c r="J75" s="110"/>
      <c r="K75" s="110"/>
      <c r="M75" s="116">
        <f t="shared" si="3"/>
        <v>0</v>
      </c>
      <c r="N75" s="110">
        <f t="shared" si="4"/>
        <v>0</v>
      </c>
    </row>
    <row r="76" spans="1:14">
      <c r="A76" s="110">
        <v>56</v>
      </c>
      <c r="B76" s="105">
        <f t="shared" si="5"/>
        <v>45082</v>
      </c>
      <c r="C76" s="110">
        <f t="shared" si="10"/>
        <v>0</v>
      </c>
      <c r="D76" s="111">
        <f t="shared" si="1"/>
        <v>0</v>
      </c>
      <c r="E76" s="111">
        <f t="shared" si="6"/>
        <v>0</v>
      </c>
      <c r="F76" s="111">
        <f t="shared" si="7"/>
        <v>0</v>
      </c>
      <c r="G76" s="111">
        <f t="shared" si="11"/>
        <v>0</v>
      </c>
      <c r="H76" s="110">
        <f t="shared" si="8"/>
        <v>0</v>
      </c>
      <c r="I76" s="111">
        <v>0</v>
      </c>
      <c r="J76" s="110"/>
      <c r="K76" s="110"/>
      <c r="M76" s="116">
        <f t="shared" si="3"/>
        <v>0</v>
      </c>
      <c r="N76" s="110">
        <f t="shared" si="4"/>
        <v>0</v>
      </c>
    </row>
    <row r="77" spans="1:14">
      <c r="A77" s="110">
        <v>57</v>
      </c>
      <c r="B77" s="105">
        <f t="shared" si="5"/>
        <v>45112</v>
      </c>
      <c r="C77" s="110">
        <f t="shared" si="10"/>
        <v>0</v>
      </c>
      <c r="D77" s="111">
        <f t="shared" si="1"/>
        <v>0</v>
      </c>
      <c r="E77" s="111">
        <f t="shared" si="6"/>
        <v>0</v>
      </c>
      <c r="F77" s="111">
        <f t="shared" si="7"/>
        <v>0</v>
      </c>
      <c r="G77" s="111">
        <f t="shared" si="11"/>
        <v>0</v>
      </c>
      <c r="H77" s="110">
        <f t="shared" si="8"/>
        <v>0</v>
      </c>
      <c r="I77" s="111">
        <v>0</v>
      </c>
      <c r="J77" s="110"/>
      <c r="K77" s="110"/>
      <c r="M77" s="116">
        <f t="shared" si="3"/>
        <v>0</v>
      </c>
      <c r="N77" s="110">
        <f t="shared" si="4"/>
        <v>0</v>
      </c>
    </row>
    <row r="78" spans="1:14">
      <c r="A78" s="110">
        <v>58</v>
      </c>
      <c r="B78" s="105">
        <f t="shared" si="5"/>
        <v>45143</v>
      </c>
      <c r="C78" s="110">
        <f t="shared" si="10"/>
        <v>0</v>
      </c>
      <c r="D78" s="111">
        <f t="shared" si="1"/>
        <v>0</v>
      </c>
      <c r="E78" s="111">
        <f t="shared" si="6"/>
        <v>0</v>
      </c>
      <c r="F78" s="111">
        <f t="shared" si="7"/>
        <v>0</v>
      </c>
      <c r="G78" s="111">
        <f t="shared" si="11"/>
        <v>0</v>
      </c>
      <c r="H78" s="110">
        <f t="shared" si="8"/>
        <v>0</v>
      </c>
      <c r="I78" s="111">
        <v>0</v>
      </c>
      <c r="J78" s="110"/>
      <c r="K78" s="110"/>
      <c r="M78" s="116">
        <f t="shared" si="3"/>
        <v>0</v>
      </c>
      <c r="N78" s="110">
        <f t="shared" si="4"/>
        <v>0</v>
      </c>
    </row>
    <row r="79" spans="1:14">
      <c r="A79" s="110">
        <v>59</v>
      </c>
      <c r="B79" s="105">
        <f t="shared" si="5"/>
        <v>45174</v>
      </c>
      <c r="C79" s="110">
        <f t="shared" si="10"/>
        <v>0</v>
      </c>
      <c r="D79" s="111">
        <f t="shared" si="1"/>
        <v>0</v>
      </c>
      <c r="E79" s="111">
        <f t="shared" si="6"/>
        <v>0</v>
      </c>
      <c r="F79" s="111">
        <f t="shared" si="7"/>
        <v>0</v>
      </c>
      <c r="G79" s="111">
        <f t="shared" si="11"/>
        <v>0</v>
      </c>
      <c r="H79" s="110">
        <f t="shared" si="8"/>
        <v>0</v>
      </c>
      <c r="I79" s="111">
        <v>0</v>
      </c>
      <c r="J79" s="110"/>
      <c r="K79" s="110"/>
      <c r="M79" s="116">
        <f t="shared" si="3"/>
        <v>0</v>
      </c>
      <c r="N79" s="110">
        <f t="shared" si="4"/>
        <v>0</v>
      </c>
    </row>
    <row r="80" spans="1:14">
      <c r="A80" s="110">
        <v>60</v>
      </c>
      <c r="B80" s="105">
        <f t="shared" si="5"/>
        <v>45204</v>
      </c>
      <c r="C80" s="110">
        <f t="shared" si="10"/>
        <v>0</v>
      </c>
      <c r="D80" s="111">
        <f t="shared" si="1"/>
        <v>0</v>
      </c>
      <c r="E80" s="111">
        <f t="shared" si="6"/>
        <v>0</v>
      </c>
      <c r="F80" s="111">
        <f t="shared" si="7"/>
        <v>0</v>
      </c>
      <c r="G80" s="111">
        <f t="shared" si="11"/>
        <v>0</v>
      </c>
      <c r="H80" s="110">
        <f t="shared" si="8"/>
        <v>0</v>
      </c>
      <c r="I80" s="111">
        <v>0</v>
      </c>
      <c r="J80" s="110"/>
      <c r="K80" s="110"/>
      <c r="M80" s="116">
        <f t="shared" si="3"/>
        <v>0</v>
      </c>
      <c r="N80" s="110">
        <f t="shared" si="4"/>
        <v>0</v>
      </c>
    </row>
    <row r="81" spans="1:14">
      <c r="A81" s="110">
        <v>61</v>
      </c>
      <c r="B81" s="105">
        <f t="shared" si="5"/>
        <v>45235</v>
      </c>
      <c r="C81" s="110">
        <f t="shared" si="10"/>
        <v>0</v>
      </c>
      <c r="D81" s="111">
        <f t="shared" si="1"/>
        <v>0</v>
      </c>
      <c r="E81" s="111">
        <f t="shared" si="6"/>
        <v>0</v>
      </c>
      <c r="F81" s="111">
        <f t="shared" si="7"/>
        <v>0</v>
      </c>
      <c r="G81" s="111">
        <f t="shared" si="11"/>
        <v>0</v>
      </c>
      <c r="H81" s="110">
        <f t="shared" si="8"/>
        <v>0</v>
      </c>
      <c r="I81" s="111">
        <v>0</v>
      </c>
      <c r="J81" s="110"/>
      <c r="K81" s="110"/>
      <c r="M81" s="116">
        <f t="shared" si="3"/>
        <v>0</v>
      </c>
      <c r="N81" s="110">
        <f t="shared" si="4"/>
        <v>0</v>
      </c>
    </row>
    <row r="82" spans="1:14">
      <c r="A82" s="110">
        <v>62</v>
      </c>
      <c r="B82" s="105">
        <f t="shared" si="5"/>
        <v>45265</v>
      </c>
      <c r="C82" s="110">
        <f t="shared" si="10"/>
        <v>0</v>
      </c>
      <c r="D82" s="111">
        <f t="shared" si="1"/>
        <v>0</v>
      </c>
      <c r="E82" s="111">
        <f t="shared" si="6"/>
        <v>0</v>
      </c>
      <c r="F82" s="111">
        <f t="shared" si="7"/>
        <v>0</v>
      </c>
      <c r="G82" s="111">
        <f t="shared" si="11"/>
        <v>0</v>
      </c>
      <c r="H82" s="110">
        <f t="shared" si="8"/>
        <v>0</v>
      </c>
      <c r="I82" s="111">
        <v>0</v>
      </c>
      <c r="J82" s="110"/>
      <c r="K82" s="110"/>
      <c r="M82" s="116">
        <f t="shared" si="3"/>
        <v>0</v>
      </c>
      <c r="N82" s="110">
        <f t="shared" si="4"/>
        <v>0</v>
      </c>
    </row>
    <row r="83" spans="1:14">
      <c r="A83" s="110">
        <v>63</v>
      </c>
      <c r="B83" s="105">
        <f t="shared" si="5"/>
        <v>45296</v>
      </c>
      <c r="C83" s="110">
        <f t="shared" si="10"/>
        <v>0</v>
      </c>
      <c r="D83" s="111">
        <f t="shared" si="1"/>
        <v>0</v>
      </c>
      <c r="E83" s="111">
        <f t="shared" si="6"/>
        <v>0</v>
      </c>
      <c r="F83" s="111">
        <f t="shared" si="7"/>
        <v>0</v>
      </c>
      <c r="G83" s="111">
        <f t="shared" si="11"/>
        <v>0</v>
      </c>
      <c r="H83" s="110">
        <f t="shared" si="8"/>
        <v>0</v>
      </c>
      <c r="I83" s="111">
        <v>0</v>
      </c>
      <c r="J83" s="110"/>
      <c r="K83" s="110"/>
      <c r="M83" s="116">
        <f t="shared" si="3"/>
        <v>0</v>
      </c>
      <c r="N83" s="110">
        <f t="shared" si="4"/>
        <v>0</v>
      </c>
    </row>
    <row r="84" spans="1:14">
      <c r="A84" s="110">
        <v>64</v>
      </c>
      <c r="B84" s="105">
        <f t="shared" si="5"/>
        <v>45327</v>
      </c>
      <c r="C84" s="110">
        <f t="shared" si="10"/>
        <v>0</v>
      </c>
      <c r="D84" s="111">
        <f t="shared" si="1"/>
        <v>0</v>
      </c>
      <c r="E84" s="111">
        <f t="shared" si="6"/>
        <v>0</v>
      </c>
      <c r="F84" s="111">
        <f t="shared" si="7"/>
        <v>0</v>
      </c>
      <c r="G84" s="111">
        <f t="shared" si="11"/>
        <v>0</v>
      </c>
      <c r="H84" s="110">
        <f t="shared" si="8"/>
        <v>0</v>
      </c>
      <c r="I84" s="111">
        <v>0</v>
      </c>
      <c r="J84" s="110"/>
      <c r="K84" s="110"/>
      <c r="M84" s="116">
        <f t="shared" si="3"/>
        <v>0</v>
      </c>
      <c r="N84" s="110">
        <f t="shared" si="4"/>
        <v>0</v>
      </c>
    </row>
    <row r="85" spans="1:14">
      <c r="A85" s="110">
        <v>65</v>
      </c>
      <c r="B85" s="105">
        <f t="shared" si="5"/>
        <v>45356</v>
      </c>
      <c r="C85" s="110">
        <f t="shared" si="10"/>
        <v>0</v>
      </c>
      <c r="D85" s="111">
        <f t="shared" ref="D85:D104" si="12">IF(A85&lt;=$F$7,IF($F$12=$I$9,$F$5*$F$13,N84*$F$14/12),0)+-IF(AND(A85&lt;=$M$9,$M$9&lt;&gt;0),$J$20/$M$9,0)+-IF(AND(A85&lt;=$M$10,$M$10&lt;&gt;0),$K$20/$M$10,0)</f>
        <v>0</v>
      </c>
      <c r="E85" s="111">
        <f t="shared" si="6"/>
        <v>0</v>
      </c>
      <c r="F85" s="111">
        <f t="shared" si="7"/>
        <v>0</v>
      </c>
      <c r="G85" s="111">
        <f t="shared" si="11"/>
        <v>0</v>
      </c>
      <c r="H85" s="110">
        <f t="shared" si="8"/>
        <v>0</v>
      </c>
      <c r="I85" s="111">
        <v>0</v>
      </c>
      <c r="J85" s="110"/>
      <c r="K85" s="110"/>
      <c r="M85" s="116">
        <f t="shared" ref="M85:M104" si="13">SUM(C85,D85,G85,J85,K85,L85)</f>
        <v>0</v>
      </c>
      <c r="N85" s="110">
        <f t="shared" ref="N85:N104" si="14">N84-C85</f>
        <v>0</v>
      </c>
    </row>
    <row r="86" spans="1:14">
      <c r="A86" s="110">
        <v>66</v>
      </c>
      <c r="B86" s="105">
        <f t="shared" ref="B86:B104" si="15">EOMONTH(B85,0)+DAY(B85)</f>
        <v>45387</v>
      </c>
      <c r="C86" s="110">
        <f t="shared" si="10"/>
        <v>0</v>
      </c>
      <c r="D86" s="111">
        <f t="shared" si="12"/>
        <v>0</v>
      </c>
      <c r="E86" s="111">
        <f>IF($R$17="ЮЛ",D86*0.2,0)</f>
        <v>0</v>
      </c>
      <c r="F86" s="111">
        <f t="shared" ref="F86:F94" si="16">IF(AND(A86&lt;=$F$7,$S$17="ДА"),($F$5*VLOOKUP(ROUNDUP(A86/12,0),$O$7:$Q$14,3,0)/12),0)</f>
        <v>0</v>
      </c>
      <c r="G86" s="111">
        <f t="shared" si="11"/>
        <v>0</v>
      </c>
      <c r="H86" s="110">
        <f t="shared" ref="H86:H104" si="17">SUM(C86:G86)+SUM(C86:G86)*$F$15</f>
        <v>0</v>
      </c>
      <c r="I86" s="111">
        <v>0</v>
      </c>
      <c r="J86" s="110"/>
      <c r="K86" s="110"/>
      <c r="M86" s="116">
        <f t="shared" si="13"/>
        <v>0</v>
      </c>
      <c r="N86" s="110">
        <f t="shared" si="14"/>
        <v>0</v>
      </c>
    </row>
    <row r="87" spans="1:14">
      <c r="A87" s="110">
        <v>67</v>
      </c>
      <c r="B87" s="105">
        <f t="shared" si="15"/>
        <v>45417</v>
      </c>
      <c r="C87" s="110">
        <f t="shared" si="10"/>
        <v>0</v>
      </c>
      <c r="D87" s="111">
        <f t="shared" si="12"/>
        <v>0</v>
      </c>
      <c r="E87" s="111">
        <f>IF($R$17="ЮЛ",D87*0.2,0)</f>
        <v>0</v>
      </c>
      <c r="F87" s="111">
        <f t="shared" si="16"/>
        <v>0</v>
      </c>
      <c r="G87" s="111">
        <f t="shared" si="11"/>
        <v>0</v>
      </c>
      <c r="H87" s="110">
        <f t="shared" si="17"/>
        <v>0</v>
      </c>
      <c r="I87" s="111">
        <v>0</v>
      </c>
      <c r="J87" s="110"/>
      <c r="K87" s="110"/>
      <c r="M87" s="116">
        <f t="shared" si="13"/>
        <v>0</v>
      </c>
      <c r="N87" s="110">
        <f t="shared" si="14"/>
        <v>0</v>
      </c>
    </row>
    <row r="88" spans="1:14">
      <c r="A88" s="110">
        <v>68</v>
      </c>
      <c r="B88" s="105">
        <f t="shared" si="15"/>
        <v>45448</v>
      </c>
      <c r="C88" s="110">
        <f t="shared" si="10"/>
        <v>0</v>
      </c>
      <c r="D88" s="111">
        <f t="shared" si="12"/>
        <v>0</v>
      </c>
      <c r="E88" s="111">
        <f>IF($R$17="ЮЛ",D88*0.2,0)</f>
        <v>0</v>
      </c>
      <c r="F88" s="111">
        <f t="shared" si="16"/>
        <v>0</v>
      </c>
      <c r="G88" s="111">
        <f t="shared" si="11"/>
        <v>0</v>
      </c>
      <c r="H88" s="110">
        <f t="shared" si="17"/>
        <v>0</v>
      </c>
      <c r="I88" s="111">
        <v>0</v>
      </c>
      <c r="J88" s="110"/>
      <c r="K88" s="110"/>
      <c r="M88" s="116">
        <f t="shared" si="13"/>
        <v>0</v>
      </c>
      <c r="N88" s="110">
        <f t="shared" si="14"/>
        <v>0</v>
      </c>
    </row>
    <row r="89" spans="1:14">
      <c r="A89" s="110">
        <v>69</v>
      </c>
      <c r="B89" s="105">
        <f t="shared" si="15"/>
        <v>45478</v>
      </c>
      <c r="C89" s="110">
        <f t="shared" si="10"/>
        <v>0</v>
      </c>
      <c r="D89" s="111">
        <f t="shared" si="12"/>
        <v>0</v>
      </c>
      <c r="E89" s="111">
        <f>IF($R$17="ЮЛ",D89*0.2,0)</f>
        <v>0</v>
      </c>
      <c r="F89" s="111">
        <f t="shared" si="16"/>
        <v>0</v>
      </c>
      <c r="G89" s="111">
        <f t="shared" si="11"/>
        <v>0</v>
      </c>
      <c r="H89" s="110">
        <f t="shared" si="17"/>
        <v>0</v>
      </c>
      <c r="I89" s="111">
        <v>0</v>
      </c>
      <c r="J89" s="110"/>
      <c r="K89" s="110"/>
      <c r="M89" s="116">
        <f t="shared" si="13"/>
        <v>0</v>
      </c>
      <c r="N89" s="110">
        <f t="shared" si="14"/>
        <v>0</v>
      </c>
    </row>
    <row r="90" spans="1:14">
      <c r="A90" s="110">
        <v>70</v>
      </c>
      <c r="B90" s="105">
        <f t="shared" si="15"/>
        <v>45509</v>
      </c>
      <c r="C90" s="110">
        <f t="shared" si="10"/>
        <v>0</v>
      </c>
      <c r="D90" s="111">
        <f t="shared" si="12"/>
        <v>0</v>
      </c>
      <c r="E90" s="111">
        <f>IF($R$17="ЮЛ",D90*0.2,0)</f>
        <v>0</v>
      </c>
      <c r="F90" s="111">
        <f t="shared" si="16"/>
        <v>0</v>
      </c>
      <c r="G90" s="111">
        <f t="shared" si="11"/>
        <v>0</v>
      </c>
      <c r="H90" s="110">
        <f t="shared" si="17"/>
        <v>0</v>
      </c>
      <c r="I90" s="111">
        <v>0</v>
      </c>
      <c r="J90" s="110"/>
      <c r="K90" s="110"/>
      <c r="M90" s="116">
        <f t="shared" si="13"/>
        <v>0</v>
      </c>
      <c r="N90" s="110">
        <f t="shared" si="14"/>
        <v>0</v>
      </c>
    </row>
    <row r="91" spans="1:14">
      <c r="A91" s="110">
        <v>71</v>
      </c>
      <c r="B91" s="105">
        <f t="shared" si="15"/>
        <v>45540</v>
      </c>
      <c r="C91" s="110">
        <f t="shared" si="10"/>
        <v>0</v>
      </c>
      <c r="D91" s="111">
        <f t="shared" si="12"/>
        <v>0</v>
      </c>
      <c r="E91" s="111">
        <f t="shared" ref="E91:E104" si="18">D91*0.2</f>
        <v>0</v>
      </c>
      <c r="F91" s="111">
        <f t="shared" si="16"/>
        <v>0</v>
      </c>
      <c r="G91" s="111">
        <f t="shared" si="11"/>
        <v>0</v>
      </c>
      <c r="H91" s="110">
        <f t="shared" si="17"/>
        <v>0</v>
      </c>
      <c r="I91" s="111">
        <v>0</v>
      </c>
      <c r="J91" s="110"/>
      <c r="K91" s="110"/>
      <c r="M91" s="116">
        <f t="shared" si="13"/>
        <v>0</v>
      </c>
      <c r="N91" s="110">
        <f t="shared" si="14"/>
        <v>0</v>
      </c>
    </row>
    <row r="92" spans="1:14">
      <c r="A92" s="110">
        <v>72</v>
      </c>
      <c r="B92" s="105">
        <f t="shared" si="15"/>
        <v>45570</v>
      </c>
      <c r="C92" s="110">
        <f t="shared" si="10"/>
        <v>0</v>
      </c>
      <c r="D92" s="111">
        <f t="shared" si="12"/>
        <v>0</v>
      </c>
      <c r="E92" s="111">
        <f t="shared" si="18"/>
        <v>0</v>
      </c>
      <c r="F92" s="111">
        <f t="shared" si="16"/>
        <v>0</v>
      </c>
      <c r="G92" s="111">
        <f t="shared" si="11"/>
        <v>0</v>
      </c>
      <c r="H92" s="110">
        <f t="shared" si="17"/>
        <v>0</v>
      </c>
      <c r="I92" s="111">
        <v>0</v>
      </c>
      <c r="J92" s="110"/>
      <c r="K92" s="110"/>
      <c r="M92" s="116">
        <f t="shared" si="13"/>
        <v>0</v>
      </c>
      <c r="N92" s="110">
        <f t="shared" si="14"/>
        <v>0</v>
      </c>
    </row>
    <row r="93" spans="1:14">
      <c r="A93" s="110">
        <v>73</v>
      </c>
      <c r="B93" s="105">
        <f t="shared" si="15"/>
        <v>45601</v>
      </c>
      <c r="C93" s="110">
        <f t="shared" si="10"/>
        <v>0</v>
      </c>
      <c r="D93" s="111">
        <f t="shared" si="12"/>
        <v>0</v>
      </c>
      <c r="E93" s="111">
        <f t="shared" si="18"/>
        <v>0</v>
      </c>
      <c r="F93" s="111">
        <f t="shared" si="16"/>
        <v>0</v>
      </c>
      <c r="G93" s="111">
        <f t="shared" si="11"/>
        <v>0</v>
      </c>
      <c r="H93" s="110">
        <f t="shared" si="17"/>
        <v>0</v>
      </c>
      <c r="I93" s="111">
        <v>0</v>
      </c>
      <c r="J93" s="110"/>
      <c r="K93" s="110"/>
      <c r="M93" s="116">
        <f t="shared" si="13"/>
        <v>0</v>
      </c>
      <c r="N93" s="110">
        <f t="shared" si="14"/>
        <v>0</v>
      </c>
    </row>
    <row r="94" spans="1:14">
      <c r="A94" s="110">
        <v>74</v>
      </c>
      <c r="B94" s="105">
        <f t="shared" si="15"/>
        <v>45631</v>
      </c>
      <c r="C94" s="110">
        <f t="shared" si="10"/>
        <v>0</v>
      </c>
      <c r="D94" s="111">
        <f t="shared" si="12"/>
        <v>0</v>
      </c>
      <c r="E94" s="111">
        <f t="shared" si="18"/>
        <v>0</v>
      </c>
      <c r="F94" s="111">
        <f t="shared" si="16"/>
        <v>0</v>
      </c>
      <c r="G94" s="111">
        <f t="shared" si="11"/>
        <v>0</v>
      </c>
      <c r="H94" s="110">
        <f t="shared" si="17"/>
        <v>0</v>
      </c>
      <c r="I94" s="111">
        <v>0</v>
      </c>
      <c r="J94" s="110"/>
      <c r="K94" s="110"/>
      <c r="M94" s="116">
        <f t="shared" si="13"/>
        <v>0</v>
      </c>
      <c r="N94" s="110">
        <f t="shared" si="14"/>
        <v>0</v>
      </c>
    </row>
    <row r="95" spans="1:14">
      <c r="A95" s="110">
        <v>75</v>
      </c>
      <c r="B95" s="105">
        <f t="shared" si="15"/>
        <v>45662</v>
      </c>
      <c r="C95" s="110">
        <f t="shared" si="10"/>
        <v>0</v>
      </c>
      <c r="D95" s="111">
        <f t="shared" si="12"/>
        <v>0</v>
      </c>
      <c r="E95" s="111">
        <f t="shared" si="18"/>
        <v>0</v>
      </c>
      <c r="F95" s="111">
        <f t="shared" ref="F95:F104" si="19">IF(A95&lt;=$F$7,$F$5*VLOOKUP(ROUNDUP(A95/12,0),$O$7:$Q$14,3,0)/12,0)</f>
        <v>0</v>
      </c>
      <c r="G95" s="111">
        <f t="shared" si="11"/>
        <v>0</v>
      </c>
      <c r="H95" s="110">
        <f t="shared" si="17"/>
        <v>0</v>
      </c>
      <c r="I95" s="111">
        <v>0</v>
      </c>
      <c r="J95" s="110"/>
      <c r="K95" s="110"/>
      <c r="M95" s="116">
        <f t="shared" si="13"/>
        <v>0</v>
      </c>
      <c r="N95" s="110">
        <f t="shared" si="14"/>
        <v>0</v>
      </c>
    </row>
    <row r="96" spans="1:14">
      <c r="A96" s="110">
        <v>76</v>
      </c>
      <c r="B96" s="105">
        <f t="shared" si="15"/>
        <v>45693</v>
      </c>
      <c r="C96" s="110">
        <f t="shared" si="10"/>
        <v>0</v>
      </c>
      <c r="D96" s="111">
        <f t="shared" si="12"/>
        <v>0</v>
      </c>
      <c r="E96" s="111">
        <f t="shared" si="18"/>
        <v>0</v>
      </c>
      <c r="F96" s="111">
        <f t="shared" si="19"/>
        <v>0</v>
      </c>
      <c r="G96" s="111">
        <f t="shared" si="11"/>
        <v>0</v>
      </c>
      <c r="H96" s="110">
        <f t="shared" si="17"/>
        <v>0</v>
      </c>
      <c r="I96" s="111">
        <v>0</v>
      </c>
      <c r="J96" s="110"/>
      <c r="K96" s="110"/>
      <c r="M96" s="116">
        <f t="shared" si="13"/>
        <v>0</v>
      </c>
      <c r="N96" s="110">
        <f t="shared" si="14"/>
        <v>0</v>
      </c>
    </row>
    <row r="97" spans="1:14">
      <c r="A97" s="110">
        <v>77</v>
      </c>
      <c r="B97" s="105">
        <f t="shared" si="15"/>
        <v>45721</v>
      </c>
      <c r="C97" s="110">
        <f t="shared" si="10"/>
        <v>0</v>
      </c>
      <c r="D97" s="111">
        <f t="shared" si="12"/>
        <v>0</v>
      </c>
      <c r="E97" s="111">
        <f t="shared" si="18"/>
        <v>0</v>
      </c>
      <c r="F97" s="111">
        <f t="shared" si="19"/>
        <v>0</v>
      </c>
      <c r="G97" s="111">
        <f t="shared" si="11"/>
        <v>0</v>
      </c>
      <c r="H97" s="110">
        <f t="shared" si="17"/>
        <v>0</v>
      </c>
      <c r="I97" s="111">
        <v>0</v>
      </c>
      <c r="J97" s="110"/>
      <c r="K97" s="110"/>
      <c r="M97" s="116">
        <f t="shared" si="13"/>
        <v>0</v>
      </c>
      <c r="N97" s="110">
        <f t="shared" si="14"/>
        <v>0</v>
      </c>
    </row>
    <row r="98" spans="1:14">
      <c r="A98" s="110">
        <v>78</v>
      </c>
      <c r="B98" s="105">
        <f t="shared" si="15"/>
        <v>45752</v>
      </c>
      <c r="C98" s="110">
        <f t="shared" ref="C98:C104" si="20">IF(A98&lt;=$F$7,(IF($F$6&lt;=40%,IF($F$9=$I$6,(-$C$20-$F$5*$K$14)/$F$7+IF(A98=$F$7,$F$5*$K$14,0),MINA(((N97-$F$5*$K$14)/($F$7-A98+1)*$F$10),(N97-$F$5*$K$14))+IF(A98=$F$7,$F$5*$K$14,0)),IF(A98=1,F83*(F84-40%),IF($F$9=$I$6,(-$C$20-$F$5*$K$14)/$F$7+IF(A98=$F$7,$F$5*$K$14,0),MINA(((N97-$F$5*$K$14)/($F$7-A98+1)*$F$10),(N97-$F$5*$K$14))+IF(A98=$F$7,$F$5*$K$14,0))))),0)</f>
        <v>0</v>
      </c>
      <c r="D98" s="111">
        <f t="shared" si="12"/>
        <v>0</v>
      </c>
      <c r="E98" s="111">
        <f t="shared" si="18"/>
        <v>0</v>
      </c>
      <c r="F98" s="111">
        <f t="shared" si="19"/>
        <v>0</v>
      </c>
      <c r="G98" s="111">
        <f t="shared" si="11"/>
        <v>0</v>
      </c>
      <c r="H98" s="110">
        <f t="shared" si="17"/>
        <v>0</v>
      </c>
      <c r="I98" s="111">
        <v>0</v>
      </c>
      <c r="J98" s="110"/>
      <c r="K98" s="110"/>
      <c r="M98" s="116">
        <f t="shared" si="13"/>
        <v>0</v>
      </c>
      <c r="N98" s="110">
        <f t="shared" si="14"/>
        <v>0</v>
      </c>
    </row>
    <row r="99" spans="1:14">
      <c r="A99" s="110">
        <v>79</v>
      </c>
      <c r="B99" s="105">
        <f t="shared" si="15"/>
        <v>45782</v>
      </c>
      <c r="C99" s="110">
        <f t="shared" si="20"/>
        <v>0</v>
      </c>
      <c r="D99" s="111">
        <f t="shared" si="12"/>
        <v>0</v>
      </c>
      <c r="E99" s="111">
        <f t="shared" si="18"/>
        <v>0</v>
      </c>
      <c r="F99" s="111">
        <f t="shared" si="19"/>
        <v>0</v>
      </c>
      <c r="G99" s="111">
        <f t="shared" si="11"/>
        <v>0</v>
      </c>
      <c r="H99" s="110">
        <f t="shared" si="17"/>
        <v>0</v>
      </c>
      <c r="I99" s="111">
        <v>0</v>
      </c>
      <c r="J99" s="110"/>
      <c r="K99" s="110"/>
      <c r="M99" s="116">
        <f t="shared" si="13"/>
        <v>0</v>
      </c>
      <c r="N99" s="110">
        <f t="shared" si="14"/>
        <v>0</v>
      </c>
    </row>
    <row r="100" spans="1:14">
      <c r="A100" s="110">
        <v>80</v>
      </c>
      <c r="B100" s="105">
        <f t="shared" si="15"/>
        <v>45813</v>
      </c>
      <c r="C100" s="110">
        <f t="shared" si="20"/>
        <v>0</v>
      </c>
      <c r="D100" s="111">
        <f t="shared" si="12"/>
        <v>0</v>
      </c>
      <c r="E100" s="111">
        <f t="shared" si="18"/>
        <v>0</v>
      </c>
      <c r="F100" s="111">
        <f t="shared" si="19"/>
        <v>0</v>
      </c>
      <c r="G100" s="111">
        <f t="shared" si="11"/>
        <v>0</v>
      </c>
      <c r="H100" s="110">
        <f t="shared" si="17"/>
        <v>0</v>
      </c>
      <c r="I100" s="111">
        <v>0</v>
      </c>
      <c r="J100" s="110"/>
      <c r="K100" s="110"/>
      <c r="M100" s="116">
        <f t="shared" si="13"/>
        <v>0</v>
      </c>
      <c r="N100" s="110">
        <f t="shared" si="14"/>
        <v>0</v>
      </c>
    </row>
    <row r="101" spans="1:14">
      <c r="A101" s="110">
        <v>81</v>
      </c>
      <c r="B101" s="105">
        <f t="shared" si="15"/>
        <v>45843</v>
      </c>
      <c r="C101" s="110">
        <f t="shared" si="20"/>
        <v>0</v>
      </c>
      <c r="D101" s="111">
        <f t="shared" si="12"/>
        <v>0</v>
      </c>
      <c r="E101" s="111">
        <f t="shared" si="18"/>
        <v>0</v>
      </c>
      <c r="F101" s="111">
        <f t="shared" si="19"/>
        <v>0</v>
      </c>
      <c r="G101" s="111">
        <f t="shared" si="11"/>
        <v>0</v>
      </c>
      <c r="H101" s="110">
        <f t="shared" si="17"/>
        <v>0</v>
      </c>
      <c r="I101" s="111">
        <v>0</v>
      </c>
      <c r="J101" s="110"/>
      <c r="K101" s="110"/>
      <c r="M101" s="116">
        <f t="shared" si="13"/>
        <v>0</v>
      </c>
      <c r="N101" s="110">
        <f t="shared" si="14"/>
        <v>0</v>
      </c>
    </row>
    <row r="102" spans="1:14">
      <c r="A102" s="110">
        <v>82</v>
      </c>
      <c r="B102" s="105">
        <f t="shared" si="15"/>
        <v>45874</v>
      </c>
      <c r="C102" s="110">
        <f t="shared" si="20"/>
        <v>0</v>
      </c>
      <c r="D102" s="111">
        <f t="shared" si="12"/>
        <v>0</v>
      </c>
      <c r="E102" s="111">
        <f t="shared" si="18"/>
        <v>0</v>
      </c>
      <c r="F102" s="111">
        <f t="shared" si="19"/>
        <v>0</v>
      </c>
      <c r="G102" s="111">
        <f t="shared" si="11"/>
        <v>0</v>
      </c>
      <c r="H102" s="110">
        <f t="shared" si="17"/>
        <v>0</v>
      </c>
      <c r="I102" s="111">
        <v>0</v>
      </c>
      <c r="J102" s="110"/>
      <c r="K102" s="110"/>
      <c r="M102" s="116">
        <f t="shared" si="13"/>
        <v>0</v>
      </c>
      <c r="N102" s="110">
        <f t="shared" si="14"/>
        <v>0</v>
      </c>
    </row>
    <row r="103" spans="1:14">
      <c r="A103" s="110">
        <v>83</v>
      </c>
      <c r="B103" s="105">
        <f t="shared" si="15"/>
        <v>45905</v>
      </c>
      <c r="C103" s="110">
        <f t="shared" si="20"/>
        <v>0</v>
      </c>
      <c r="D103" s="111">
        <f t="shared" si="12"/>
        <v>0</v>
      </c>
      <c r="E103" s="111">
        <f t="shared" si="18"/>
        <v>0</v>
      </c>
      <c r="F103" s="111">
        <f t="shared" si="19"/>
        <v>0</v>
      </c>
      <c r="G103" s="111">
        <f t="shared" si="11"/>
        <v>0</v>
      </c>
      <c r="H103" s="110">
        <f t="shared" si="17"/>
        <v>0</v>
      </c>
      <c r="I103" s="111">
        <v>0</v>
      </c>
      <c r="J103" s="110"/>
      <c r="K103" s="110"/>
      <c r="M103" s="116">
        <f t="shared" si="13"/>
        <v>0</v>
      </c>
      <c r="N103" s="110">
        <f t="shared" si="14"/>
        <v>0</v>
      </c>
    </row>
    <row r="104" spans="1:14">
      <c r="A104" s="110">
        <v>84</v>
      </c>
      <c r="B104" s="105">
        <f t="shared" si="15"/>
        <v>45935</v>
      </c>
      <c r="C104" s="110">
        <f t="shared" si="20"/>
        <v>0</v>
      </c>
      <c r="D104" s="111">
        <f t="shared" si="12"/>
        <v>0</v>
      </c>
      <c r="E104" s="111">
        <f t="shared" si="18"/>
        <v>0</v>
      </c>
      <c r="F104" s="111">
        <f t="shared" si="19"/>
        <v>0</v>
      </c>
      <c r="G104" s="111">
        <f t="shared" si="11"/>
        <v>0</v>
      </c>
      <c r="H104" s="110">
        <f t="shared" si="17"/>
        <v>0</v>
      </c>
      <c r="I104" s="111">
        <v>0</v>
      </c>
      <c r="J104" s="110"/>
      <c r="K104" s="110"/>
      <c r="M104" s="116">
        <f t="shared" si="13"/>
        <v>0</v>
      </c>
      <c r="N104" s="110">
        <f t="shared" si="14"/>
        <v>0</v>
      </c>
    </row>
    <row r="106" spans="1:14">
      <c r="B106" s="117"/>
    </row>
    <row r="107" spans="1:14">
      <c r="B107" s="111"/>
    </row>
  </sheetData>
  <conditionalFormatting sqref="B18">
    <cfRule type="cellIs" dxfId="93" priority="5" operator="equal">
      <formula>0</formula>
    </cfRule>
    <cfRule type="cellIs" dxfId="92" priority="4" operator="greaterThan">
      <formula>0</formula>
    </cfRule>
    <cfRule type="cellIs" dxfId="91" priority="3" operator="lessThan">
      <formula>0</formula>
    </cfRule>
  </conditionalFormatting>
  <conditionalFormatting sqref="C18">
    <cfRule type="cellIs" dxfId="90" priority="11" operator="equal">
      <formula>0</formula>
    </cfRule>
    <cfRule type="cellIs" dxfId="89" priority="9" operator="lessThan">
      <formula>0</formula>
    </cfRule>
    <cfRule type="cellIs" dxfId="88" priority="10" operator="greaterThan">
      <formula>0</formula>
    </cfRule>
  </conditionalFormatting>
  <conditionalFormatting sqref="I18">
    <cfRule type="cellIs" dxfId="87" priority="6" operator="lessThan">
      <formula>0</formula>
    </cfRule>
    <cfRule type="cellIs" dxfId="86" priority="8" operator="equal">
      <formula>0</formula>
    </cfRule>
    <cfRule type="cellIs" dxfId="85" priority="7" operator="greaterThan">
      <formula>0</formula>
    </cfRule>
  </conditionalFormatting>
  <conditionalFormatting sqref="F16">
    <cfRule type="cellIs" dxfId="84" priority="2" operator="greaterThan">
      <formula>0.18</formula>
    </cfRule>
    <cfRule type="cellIs" dxfId="83" priority="1" operator="lessThan">
      <formula>0.1</formula>
    </cfRule>
  </conditionalFormatting>
  <dataValidations count="2">
    <dataValidation type="list" allowBlank="1" showInputMessage="1" showErrorMessage="1" sqref="F9" xr:uid="{00000000-0002-0000-0400-000000000000}">
      <formula1>$I$6:$I$7</formula1>
    </dataValidation>
    <dataValidation type="list" allowBlank="1" showInputMessage="1" showErrorMessage="1" sqref="F12" xr:uid="{00000000-0002-0000-0400-000001000000}">
      <formula1>$I$9:$I$10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7"/>
  <sheetViews>
    <sheetView zoomScale="86" workbookViewId="0">
      <selection activeCell="F15" sqref="F15"/>
    </sheetView>
  </sheetViews>
  <sheetFormatPr defaultColWidth="9.140625" defaultRowHeight="15"/>
  <cols>
    <col min="1" max="2" width="9" style="66" bestFit="1" customWidth="1"/>
    <col min="3" max="3" width="11" style="66" bestFit="1" customWidth="1"/>
    <col min="4" max="7" width="9.140625" style="66" bestFit="1" customWidth="1"/>
    <col min="8" max="8" width="11" style="66" bestFit="1" customWidth="1"/>
    <col min="9" max="9" width="11" style="66" customWidth="1"/>
    <col min="10" max="12" width="9.140625" style="66" bestFit="1" customWidth="1"/>
    <col min="13" max="13" width="10.85546875" style="66" customWidth="1"/>
    <col min="14" max="14" width="11" style="66" bestFit="1" customWidth="1"/>
    <col min="15" max="17" width="9" style="66" bestFit="1" customWidth="1"/>
    <col min="18" max="18" width="10.140625" style="66" bestFit="1" customWidth="1"/>
    <col min="19" max="19" width="9.140625" style="66"/>
    <col min="20" max="20" width="19.140625" style="66" customWidth="1"/>
    <col min="21" max="16384" width="9.140625" style="66"/>
  </cols>
  <sheetData>
    <row r="1" spans="1:18" ht="18.75">
      <c r="A1" s="99" t="s">
        <v>65</v>
      </c>
      <c r="F1" s="100"/>
      <c r="R1" s="66" t="s">
        <v>115</v>
      </c>
    </row>
    <row r="2" spans="1:18" ht="18.75">
      <c r="A2" s="99" t="s">
        <v>66</v>
      </c>
      <c r="F2" s="101" t="s">
        <v>67</v>
      </c>
      <c r="R2" s="66" t="s">
        <v>116</v>
      </c>
    </row>
    <row r="5" spans="1:18">
      <c r="A5" s="102" t="s">
        <v>68</v>
      </c>
      <c r="F5" s="103">
        <f>'Калькулятор 12-48 мес'!K11</f>
        <v>1000</v>
      </c>
      <c r="H5" s="102"/>
      <c r="I5" s="102"/>
      <c r="J5" s="102"/>
      <c r="K5" s="102" t="s">
        <v>69</v>
      </c>
    </row>
    <row r="6" spans="1:18">
      <c r="A6" s="102" t="s">
        <v>70</v>
      </c>
      <c r="F6" s="104">
        <f>'Калькулятор 12-48 мес'!K14</f>
        <v>0</v>
      </c>
      <c r="G6" s="103">
        <f>F5*F6</f>
        <v>0</v>
      </c>
      <c r="I6" s="66" t="s">
        <v>71</v>
      </c>
      <c r="K6" s="105">
        <v>44927</v>
      </c>
      <c r="O6" s="102" t="s">
        <v>72</v>
      </c>
      <c r="P6" s="102"/>
      <c r="Q6" s="102" t="s">
        <v>73</v>
      </c>
      <c r="R6" s="102" t="s">
        <v>74</v>
      </c>
    </row>
    <row r="7" spans="1:18">
      <c r="A7" s="102" t="s">
        <v>75</v>
      </c>
      <c r="F7" s="103">
        <v>18</v>
      </c>
      <c r="I7" s="66" t="s">
        <v>76</v>
      </c>
      <c r="O7" s="66">
        <v>1</v>
      </c>
      <c r="P7" s="66" t="s">
        <v>77</v>
      </c>
      <c r="Q7" s="106">
        <v>2.0199999999999999E-2</v>
      </c>
      <c r="R7" s="106">
        <f>2.02%*1.22</f>
        <v>2.4643999999999999E-2</v>
      </c>
    </row>
    <row r="8" spans="1:18">
      <c r="A8" s="102" t="s">
        <v>78</v>
      </c>
      <c r="F8" s="107">
        <v>0</v>
      </c>
      <c r="L8" s="66" t="s">
        <v>79</v>
      </c>
      <c r="M8" s="66" t="s">
        <v>80</v>
      </c>
      <c r="O8" s="66">
        <v>2</v>
      </c>
      <c r="P8" s="66" t="s">
        <v>81</v>
      </c>
      <c r="Q8" s="107">
        <f>2.07%*0.8</f>
        <v>1.6560000000000002E-2</v>
      </c>
      <c r="R8" s="107">
        <f>2.07%*0.8*1.22</f>
        <v>2.0203200000000001E-2</v>
      </c>
    </row>
    <row r="9" spans="1:18">
      <c r="A9" s="102" t="s">
        <v>82</v>
      </c>
      <c r="F9" s="103" t="s">
        <v>71</v>
      </c>
      <c r="I9" s="66" t="s">
        <v>83</v>
      </c>
      <c r="K9" s="66" t="s">
        <v>84</v>
      </c>
      <c r="L9" s="107">
        <v>0</v>
      </c>
      <c r="M9" s="103">
        <v>0</v>
      </c>
      <c r="O9" s="66">
        <v>3</v>
      </c>
      <c r="P9" s="66" t="s">
        <v>85</v>
      </c>
      <c r="Q9" s="107">
        <f>2.33%*0.7</f>
        <v>1.6310000000000002E-2</v>
      </c>
      <c r="R9" s="107">
        <f>2.33%*0.7*1.22</f>
        <v>1.9898200000000001E-2</v>
      </c>
    </row>
    <row r="10" spans="1:18">
      <c r="A10" s="102" t="s">
        <v>86</v>
      </c>
      <c r="F10" s="108">
        <v>1</v>
      </c>
      <c r="I10" s="66" t="s">
        <v>87</v>
      </c>
      <c r="K10" s="66" t="s">
        <v>88</v>
      </c>
      <c r="L10" s="107"/>
      <c r="M10" s="103">
        <v>12</v>
      </c>
      <c r="O10" s="66">
        <v>4</v>
      </c>
      <c r="P10" s="66" t="s">
        <v>89</v>
      </c>
      <c r="Q10" s="107">
        <f>2.76%*0.6</f>
        <v>1.6559999999999998E-2</v>
      </c>
      <c r="R10" s="107">
        <f>2.76%*0.6*1.22</f>
        <v>2.0203199999999998E-2</v>
      </c>
    </row>
    <row r="11" spans="1:18">
      <c r="A11" s="102"/>
      <c r="F11" s="108"/>
      <c r="L11" s="107"/>
      <c r="M11" s="103"/>
      <c r="Q11" s="107"/>
    </row>
    <row r="12" spans="1:18">
      <c r="A12" s="102" t="s">
        <v>90</v>
      </c>
      <c r="F12" s="103" t="s">
        <v>87</v>
      </c>
      <c r="O12" s="66">
        <v>5</v>
      </c>
      <c r="P12" s="66" t="s">
        <v>91</v>
      </c>
      <c r="Q12" s="107">
        <f>3.03%*0.5</f>
        <v>1.5149999999999999E-2</v>
      </c>
      <c r="R12" s="107">
        <f>3.03%*0.5*1.22</f>
        <v>1.8482999999999999E-2</v>
      </c>
    </row>
    <row r="13" spans="1:18">
      <c r="A13" s="102" t="s">
        <v>92</v>
      </c>
      <c r="F13" s="107">
        <v>0</v>
      </c>
      <c r="G13" s="107"/>
      <c r="I13" s="66" t="s">
        <v>93</v>
      </c>
      <c r="K13" s="102" t="s">
        <v>94</v>
      </c>
      <c r="O13" s="66">
        <v>6</v>
      </c>
      <c r="P13" s="66" t="s">
        <v>95</v>
      </c>
      <c r="Q13" s="106">
        <f>Q12</f>
        <v>1.5149999999999999E-2</v>
      </c>
      <c r="R13" s="106">
        <v>0</v>
      </c>
    </row>
    <row r="14" spans="1:18">
      <c r="A14" s="102" t="s">
        <v>96</v>
      </c>
      <c r="F14" s="109">
        <v>0.49</v>
      </c>
      <c r="G14" s="107"/>
      <c r="I14" s="66" t="s">
        <v>2</v>
      </c>
      <c r="K14" s="107">
        <v>0</v>
      </c>
      <c r="O14" s="66">
        <v>7</v>
      </c>
      <c r="P14" s="66" t="s">
        <v>97</v>
      </c>
      <c r="Q14" s="106">
        <f>Q13</f>
        <v>1.5149999999999999E-2</v>
      </c>
      <c r="R14" s="106">
        <v>0</v>
      </c>
    </row>
    <row r="15" spans="1:18">
      <c r="A15" s="102" t="s">
        <v>98</v>
      </c>
      <c r="F15" s="107">
        <v>0</v>
      </c>
      <c r="G15" s="107"/>
    </row>
    <row r="16" spans="1:18">
      <c r="A16" s="102" t="s">
        <v>99</v>
      </c>
      <c r="F16" s="107">
        <f>XIRR(M20:M104,B20:B104)</f>
        <v>0.61608883738517772</v>
      </c>
    </row>
    <row r="17" spans="1:20">
      <c r="O17" s="106"/>
      <c r="P17" s="106"/>
      <c r="R17" s="66" t="str">
        <f>'Калькулятор 12-48 мес'!K12</f>
        <v>ФЛ</v>
      </c>
      <c r="S17" s="66" t="s">
        <v>100</v>
      </c>
    </row>
    <row r="18" spans="1:20">
      <c r="A18" s="110">
        <f>LARGE(A20:A1048576,1)</f>
        <v>84</v>
      </c>
      <c r="B18" s="110">
        <f>IF(A18&lt;F7,"протяните формулы",0)</f>
        <v>0</v>
      </c>
      <c r="C18" s="110">
        <f>SUM(C20:C104)</f>
        <v>-4.8316906031686813E-13</v>
      </c>
      <c r="D18" s="110">
        <f t="shared" ref="D18:M18" si="0">SUM(D20:D104)</f>
        <v>431.52739297918316</v>
      </c>
      <c r="E18" s="110">
        <f t="shared" si="0"/>
        <v>0</v>
      </c>
      <c r="F18" s="110">
        <f t="shared" si="0"/>
        <v>0</v>
      </c>
      <c r="G18" s="110">
        <f t="shared" si="0"/>
        <v>0</v>
      </c>
      <c r="H18" s="110">
        <f t="shared" si="0"/>
        <v>431.52739297918276</v>
      </c>
      <c r="I18" s="111"/>
      <c r="J18" s="110">
        <f t="shared" si="0"/>
        <v>0</v>
      </c>
      <c r="K18" s="110">
        <f t="shared" si="0"/>
        <v>0</v>
      </c>
      <c r="L18" s="110">
        <f t="shared" si="0"/>
        <v>0</v>
      </c>
      <c r="M18" s="110">
        <f t="shared" si="0"/>
        <v>431.52739297918276</v>
      </c>
      <c r="O18" s="112"/>
      <c r="P18" s="112"/>
    </row>
    <row r="19" spans="1:20" ht="76.5">
      <c r="A19" s="113" t="s">
        <v>101</v>
      </c>
      <c r="B19" s="113" t="s">
        <v>102</v>
      </c>
      <c r="C19" s="113" t="s">
        <v>103</v>
      </c>
      <c r="D19" s="113" t="s">
        <v>104</v>
      </c>
      <c r="E19" s="113" t="s">
        <v>105</v>
      </c>
      <c r="F19" s="113" t="s">
        <v>106</v>
      </c>
      <c r="G19" s="113" t="s">
        <v>107</v>
      </c>
      <c r="H19" s="113" t="s">
        <v>108</v>
      </c>
      <c r="I19" s="85" t="s">
        <v>109</v>
      </c>
      <c r="J19" s="113" t="s">
        <v>84</v>
      </c>
      <c r="K19" s="113" t="s">
        <v>110</v>
      </c>
      <c r="L19" s="113" t="s">
        <v>111</v>
      </c>
      <c r="M19" s="113" t="s">
        <v>112</v>
      </c>
      <c r="N19" s="113" t="s">
        <v>113</v>
      </c>
      <c r="O19" s="106"/>
      <c r="P19" s="106"/>
      <c r="Q19" s="114"/>
      <c r="R19" s="114"/>
      <c r="S19" s="114"/>
      <c r="T19" s="66" t="s">
        <v>117</v>
      </c>
    </row>
    <row r="20" spans="1:20">
      <c r="A20" s="115">
        <v>0</v>
      </c>
      <c r="B20" s="115" t="s">
        <v>114</v>
      </c>
      <c r="C20" s="111">
        <f>IF(F6&gt;=40%,-(F5*60%),-(F5*(1-F6)))</f>
        <v>-1000</v>
      </c>
      <c r="D20" s="111"/>
      <c r="E20" s="111"/>
      <c r="F20" s="111"/>
      <c r="G20" s="111"/>
      <c r="H20" s="111">
        <f>SUM(C20:G20)</f>
        <v>-1000</v>
      </c>
      <c r="I20" s="111">
        <f>C20*20/120</f>
        <v>-166.66666666666666</v>
      </c>
      <c r="J20" s="111">
        <f>-F5*L9</f>
        <v>0</v>
      </c>
      <c r="K20" s="111">
        <f>-F5*L10</f>
        <v>0</v>
      </c>
      <c r="L20" s="111">
        <f>F5*F8</f>
        <v>0</v>
      </c>
      <c r="M20" s="116">
        <f>SUM(C20,D20,G20,J20,K20,L20)</f>
        <v>-1000</v>
      </c>
      <c r="N20" s="111">
        <f>-C20</f>
        <v>1000</v>
      </c>
      <c r="O20" s="106"/>
      <c r="P20" s="106"/>
    </row>
    <row r="21" spans="1:20">
      <c r="A21" s="110">
        <f>A20+1</f>
        <v>1</v>
      </c>
      <c r="B21" s="105">
        <f>EOMONTH(B20,0)+DAY(B20)</f>
        <v>43409</v>
      </c>
      <c r="C21" s="111">
        <f>T21-D21-E21</f>
        <v>38.69596627662127</v>
      </c>
      <c r="D21" s="111">
        <f t="shared" ref="D21:D84" si="1">IF(A21&lt;=$F$7,IF($F$12=$I$9,$F$5*$F$13,N20*$F$14/12),0)+-IF(AND(A21&lt;=$M$9,$M$9&lt;&gt;0),$J$20/$M$9,0)+-IF(AND(A21&lt;=$M$10,$M$10&lt;&gt;0),$K$20/$M$10,0)</f>
        <v>40.833333333333336</v>
      </c>
      <c r="E21" s="111">
        <f>IF($R$17="ЮЛ",D21*0.2,0)</f>
        <v>0</v>
      </c>
      <c r="F21" s="111">
        <f>IF(AND(A21&lt;=$F$7,$S$17="ДА"),($F$5*VLOOKUP(ROUNDUP(A21/12,0),$O$7:$Q$14,3,0)/12),0)</f>
        <v>0</v>
      </c>
      <c r="G21" s="111">
        <v>0</v>
      </c>
      <c r="H21" s="111">
        <f>SUM(C21:G21)+SUM(C21:G21)*$F$15</f>
        <v>79.529299609954606</v>
      </c>
      <c r="I21" s="111">
        <f t="shared" ref="I21:I84" si="2">C21*20/120</f>
        <v>6.449327712770212</v>
      </c>
      <c r="J21" s="111"/>
      <c r="K21" s="111"/>
      <c r="L21" s="111"/>
      <c r="M21" s="116">
        <f>SUM(C21,D21,G21,J21,K21,L21)</f>
        <v>79.529299609954606</v>
      </c>
      <c r="N21" s="111">
        <f t="shared" ref="N21:N84" si="3">N20-C21</f>
        <v>961.30403372337878</v>
      </c>
      <c r="O21" s="106"/>
      <c r="P21" s="106"/>
      <c r="T21" s="118">
        <f t="shared" ref="T21:T38" si="4">IF($R$17=$R$1,PMT($F$14/12,$F$7,-($F$5-$G$6),$F$5*$K$14,0)+$F$5*$L$10/$M$10,PMT($F$14/12*1.2,$F$7,-($F$5-$G$6),$F$5*$K$14,0)+$F$5*$L$10/$M$10)</f>
        <v>79.529299609954606</v>
      </c>
    </row>
    <row r="22" spans="1:20">
      <c r="A22" s="110">
        <v>2</v>
      </c>
      <c r="B22" s="105">
        <f t="shared" ref="B22:B85" si="5">EOMONTH(B21,0)+DAY(B21)</f>
        <v>43439</v>
      </c>
      <c r="C22" s="111">
        <f t="shared" ref="C22:C67" si="6">T22-D22-E22</f>
        <v>40.276051566249969</v>
      </c>
      <c r="D22" s="111">
        <f t="shared" si="1"/>
        <v>39.253248043704637</v>
      </c>
      <c r="E22" s="111">
        <f t="shared" ref="E22:E85" si="7">IF($R$17="ЮЛ",D22*0.2,0)</f>
        <v>0</v>
      </c>
      <c r="F22" s="111">
        <f t="shared" ref="F22:F85" si="8">IF(AND(A22&lt;=$F$7,$S$17="ДА"),($F$5*VLOOKUP(ROUNDUP(A22/12,0),$O$7:$Q$14,3,0)/12),0)</f>
        <v>0</v>
      </c>
      <c r="G22" s="111">
        <v>0</v>
      </c>
      <c r="H22" s="111">
        <f t="shared" ref="H22:H85" si="9">SUM(C22:G22)+SUM(C22:G22)*$F$15</f>
        <v>79.529299609954606</v>
      </c>
      <c r="I22" s="111">
        <f t="shared" si="2"/>
        <v>6.712675261041662</v>
      </c>
      <c r="J22" s="111"/>
      <c r="K22" s="111"/>
      <c r="L22" s="111"/>
      <c r="M22" s="116">
        <f t="shared" ref="M22:M84" si="10">SUM(C22,D22,G22,J22,K22,L22)</f>
        <v>79.529299609954606</v>
      </c>
      <c r="N22" s="111">
        <f t="shared" si="3"/>
        <v>921.0279821571288</v>
      </c>
      <c r="O22" s="106"/>
      <c r="P22" s="106"/>
      <c r="T22" s="118">
        <f t="shared" si="4"/>
        <v>79.529299609954606</v>
      </c>
    </row>
    <row r="23" spans="1:20">
      <c r="A23" s="110">
        <v>3</v>
      </c>
      <c r="B23" s="105">
        <f t="shared" si="5"/>
        <v>43470</v>
      </c>
      <c r="C23" s="111">
        <f t="shared" si="6"/>
        <v>41.920657005205179</v>
      </c>
      <c r="D23" s="111">
        <f t="shared" si="1"/>
        <v>37.608642604749427</v>
      </c>
      <c r="E23" s="111">
        <f t="shared" si="7"/>
        <v>0</v>
      </c>
      <c r="F23" s="111">
        <f t="shared" si="8"/>
        <v>0</v>
      </c>
      <c r="G23" s="111">
        <v>0</v>
      </c>
      <c r="H23" s="111">
        <f t="shared" si="9"/>
        <v>79.529299609954606</v>
      </c>
      <c r="I23" s="111">
        <f t="shared" si="2"/>
        <v>6.9867761675341971</v>
      </c>
      <c r="J23" s="111"/>
      <c r="K23" s="111"/>
      <c r="L23" s="111"/>
      <c r="M23" s="116">
        <f t="shared" si="10"/>
        <v>79.529299609954606</v>
      </c>
      <c r="N23" s="111">
        <f t="shared" si="3"/>
        <v>879.10732515192365</v>
      </c>
      <c r="O23" s="106"/>
      <c r="P23" s="106"/>
      <c r="T23" s="118">
        <f t="shared" si="4"/>
        <v>79.529299609954606</v>
      </c>
    </row>
    <row r="24" spans="1:20">
      <c r="A24" s="110">
        <v>4</v>
      </c>
      <c r="B24" s="105">
        <f t="shared" si="5"/>
        <v>43501</v>
      </c>
      <c r="C24" s="111">
        <f t="shared" si="6"/>
        <v>43.632417166251059</v>
      </c>
      <c r="D24" s="111">
        <f t="shared" si="1"/>
        <v>35.896882443703547</v>
      </c>
      <c r="E24" s="111">
        <f t="shared" si="7"/>
        <v>0</v>
      </c>
      <c r="F24" s="111">
        <f t="shared" si="8"/>
        <v>0</v>
      </c>
      <c r="G24" s="111">
        <v>0</v>
      </c>
      <c r="H24" s="111">
        <f t="shared" si="9"/>
        <v>79.529299609954606</v>
      </c>
      <c r="I24" s="111">
        <f t="shared" si="2"/>
        <v>7.2720695277085099</v>
      </c>
      <c r="J24" s="111"/>
      <c r="K24" s="111"/>
      <c r="L24" s="111"/>
      <c r="M24" s="116">
        <f t="shared" si="10"/>
        <v>79.529299609954606</v>
      </c>
      <c r="N24" s="111">
        <f t="shared" si="3"/>
        <v>835.47490798567264</v>
      </c>
      <c r="O24" s="106"/>
      <c r="P24" s="106"/>
      <c r="T24" s="118">
        <f t="shared" si="4"/>
        <v>79.529299609954606</v>
      </c>
    </row>
    <row r="25" spans="1:20">
      <c r="A25" s="110">
        <v>5</v>
      </c>
      <c r="B25" s="105">
        <f t="shared" si="5"/>
        <v>43529</v>
      </c>
      <c r="C25" s="111">
        <f t="shared" si="6"/>
        <v>45.414074200539638</v>
      </c>
      <c r="D25" s="111">
        <f t="shared" si="1"/>
        <v>34.115225409414968</v>
      </c>
      <c r="E25" s="111">
        <f t="shared" si="7"/>
        <v>0</v>
      </c>
      <c r="F25" s="111">
        <f t="shared" si="8"/>
        <v>0</v>
      </c>
      <c r="G25" s="111">
        <v>0</v>
      </c>
      <c r="H25" s="111">
        <f t="shared" si="9"/>
        <v>79.529299609954606</v>
      </c>
      <c r="I25" s="111">
        <f t="shared" si="2"/>
        <v>7.5690123667566063</v>
      </c>
      <c r="J25" s="111"/>
      <c r="K25" s="111"/>
      <c r="L25" s="111"/>
      <c r="M25" s="116">
        <f t="shared" si="10"/>
        <v>79.529299609954606</v>
      </c>
      <c r="N25" s="111">
        <f t="shared" si="3"/>
        <v>790.06083378513301</v>
      </c>
      <c r="T25" s="118">
        <f t="shared" si="4"/>
        <v>79.529299609954606</v>
      </c>
    </row>
    <row r="26" spans="1:20">
      <c r="A26" s="110">
        <v>6</v>
      </c>
      <c r="B26" s="105">
        <f t="shared" si="5"/>
        <v>43560</v>
      </c>
      <c r="C26" s="111">
        <f t="shared" si="6"/>
        <v>47.268482230395009</v>
      </c>
      <c r="D26" s="111">
        <f t="shared" si="1"/>
        <v>32.260817379559597</v>
      </c>
      <c r="E26" s="111">
        <f t="shared" si="7"/>
        <v>0</v>
      </c>
      <c r="F26" s="111">
        <f t="shared" si="8"/>
        <v>0</v>
      </c>
      <c r="G26" s="111">
        <v>0</v>
      </c>
      <c r="H26" s="111">
        <f t="shared" si="9"/>
        <v>79.529299609954606</v>
      </c>
      <c r="I26" s="111">
        <f t="shared" si="2"/>
        <v>7.8780803717325023</v>
      </c>
      <c r="J26" s="111"/>
      <c r="K26" s="111"/>
      <c r="L26" s="111"/>
      <c r="M26" s="116">
        <f t="shared" si="10"/>
        <v>79.529299609954606</v>
      </c>
      <c r="N26" s="111">
        <f t="shared" si="3"/>
        <v>742.79235155473805</v>
      </c>
      <c r="T26" s="118">
        <f t="shared" si="4"/>
        <v>79.529299609954606</v>
      </c>
    </row>
    <row r="27" spans="1:20">
      <c r="A27" s="110">
        <v>7</v>
      </c>
      <c r="B27" s="105">
        <f t="shared" si="5"/>
        <v>43590</v>
      </c>
      <c r="C27" s="111">
        <f t="shared" si="6"/>
        <v>49.198611921469464</v>
      </c>
      <c r="D27" s="111">
        <f t="shared" si="1"/>
        <v>30.330687688485138</v>
      </c>
      <c r="E27" s="111">
        <f t="shared" si="7"/>
        <v>0</v>
      </c>
      <c r="F27" s="111">
        <f t="shared" si="8"/>
        <v>0</v>
      </c>
      <c r="G27" s="111">
        <v>0</v>
      </c>
      <c r="H27" s="111">
        <f t="shared" si="9"/>
        <v>79.529299609954606</v>
      </c>
      <c r="I27" s="111">
        <f t="shared" si="2"/>
        <v>8.1997686535782446</v>
      </c>
      <c r="J27" s="111"/>
      <c r="K27" s="111"/>
      <c r="L27" s="111"/>
      <c r="M27" s="116">
        <f t="shared" si="10"/>
        <v>79.529299609954606</v>
      </c>
      <c r="N27" s="111">
        <f t="shared" si="3"/>
        <v>693.59373963326857</v>
      </c>
      <c r="T27" s="118">
        <f t="shared" si="4"/>
        <v>79.529299609954606</v>
      </c>
    </row>
    <row r="28" spans="1:20">
      <c r="A28" s="110">
        <v>8</v>
      </c>
      <c r="B28" s="105">
        <f t="shared" si="5"/>
        <v>43621</v>
      </c>
      <c r="C28" s="111">
        <f t="shared" si="6"/>
        <v>51.20755524159614</v>
      </c>
      <c r="D28" s="111">
        <f t="shared" si="1"/>
        <v>28.321744368358466</v>
      </c>
      <c r="E28" s="111">
        <f t="shared" si="7"/>
        <v>0</v>
      </c>
      <c r="F28" s="111">
        <f t="shared" si="8"/>
        <v>0</v>
      </c>
      <c r="G28" s="111">
        <v>0</v>
      </c>
      <c r="H28" s="111">
        <f t="shared" si="9"/>
        <v>79.529299609954606</v>
      </c>
      <c r="I28" s="111">
        <f t="shared" si="2"/>
        <v>8.5345925402660239</v>
      </c>
      <c r="J28" s="111"/>
      <c r="K28" s="111"/>
      <c r="L28" s="111"/>
      <c r="M28" s="116">
        <f t="shared" si="10"/>
        <v>79.529299609954606</v>
      </c>
      <c r="N28" s="111">
        <f t="shared" si="3"/>
        <v>642.38618439167249</v>
      </c>
      <c r="T28" s="118">
        <f t="shared" si="4"/>
        <v>79.529299609954606</v>
      </c>
    </row>
    <row r="29" spans="1:20">
      <c r="A29" s="110">
        <v>9</v>
      </c>
      <c r="B29" s="105">
        <f t="shared" si="5"/>
        <v>43651</v>
      </c>
      <c r="C29" s="111">
        <f t="shared" si="6"/>
        <v>53.298530413961316</v>
      </c>
      <c r="D29" s="111">
        <f t="shared" si="1"/>
        <v>26.230769195993293</v>
      </c>
      <c r="E29" s="111">
        <f t="shared" si="7"/>
        <v>0</v>
      </c>
      <c r="F29" s="111">
        <f t="shared" si="8"/>
        <v>0</v>
      </c>
      <c r="G29" s="111">
        <v>0</v>
      </c>
      <c r="H29" s="111">
        <f t="shared" si="9"/>
        <v>79.529299609954606</v>
      </c>
      <c r="I29" s="111">
        <f t="shared" si="2"/>
        <v>8.8830884023268855</v>
      </c>
      <c r="J29" s="111"/>
      <c r="K29" s="111"/>
      <c r="L29" s="111"/>
      <c r="M29" s="116">
        <f t="shared" si="10"/>
        <v>79.529299609954606</v>
      </c>
      <c r="N29" s="111">
        <f t="shared" si="3"/>
        <v>589.08765397771117</v>
      </c>
      <c r="T29" s="118">
        <f t="shared" si="4"/>
        <v>79.529299609954606</v>
      </c>
    </row>
    <row r="30" spans="1:20">
      <c r="A30" s="110">
        <v>10</v>
      </c>
      <c r="B30" s="105">
        <f t="shared" si="5"/>
        <v>43682</v>
      </c>
      <c r="C30" s="111">
        <f t="shared" si="6"/>
        <v>55.474887072531402</v>
      </c>
      <c r="D30" s="111">
        <f t="shared" si="1"/>
        <v>24.054412537423204</v>
      </c>
      <c r="E30" s="111">
        <f t="shared" si="7"/>
        <v>0</v>
      </c>
      <c r="F30" s="111">
        <f t="shared" si="8"/>
        <v>0</v>
      </c>
      <c r="G30" s="111">
        <v>0</v>
      </c>
      <c r="H30" s="111">
        <f t="shared" si="9"/>
        <v>79.529299609954606</v>
      </c>
      <c r="I30" s="111">
        <f t="shared" si="2"/>
        <v>9.2458145120885664</v>
      </c>
      <c r="J30" s="111"/>
      <c r="K30" s="111"/>
      <c r="L30" s="111"/>
      <c r="M30" s="116">
        <f t="shared" si="10"/>
        <v>79.529299609954606</v>
      </c>
      <c r="N30" s="111">
        <f t="shared" si="3"/>
        <v>533.6127669051798</v>
      </c>
      <c r="T30" s="118">
        <f t="shared" si="4"/>
        <v>79.529299609954606</v>
      </c>
    </row>
    <row r="31" spans="1:20">
      <c r="A31" s="110">
        <v>11</v>
      </c>
      <c r="B31" s="105">
        <f t="shared" si="5"/>
        <v>43713</v>
      </c>
      <c r="C31" s="111">
        <f t="shared" si="6"/>
        <v>57.740111627993102</v>
      </c>
      <c r="D31" s="111">
        <f t="shared" si="1"/>
        <v>21.789187981961508</v>
      </c>
      <c r="E31" s="111">
        <f t="shared" si="7"/>
        <v>0</v>
      </c>
      <c r="F31" s="111">
        <f t="shared" si="8"/>
        <v>0</v>
      </c>
      <c r="G31" s="111">
        <v>0</v>
      </c>
      <c r="H31" s="111">
        <f t="shared" si="9"/>
        <v>79.529299609954606</v>
      </c>
      <c r="I31" s="111">
        <f t="shared" si="2"/>
        <v>9.6233519379988497</v>
      </c>
      <c r="J31" s="111"/>
      <c r="K31" s="111"/>
      <c r="L31" s="111"/>
      <c r="M31" s="116">
        <f t="shared" si="10"/>
        <v>79.529299609954606</v>
      </c>
      <c r="N31" s="111">
        <f t="shared" si="3"/>
        <v>475.87265527718671</v>
      </c>
      <c r="T31" s="118">
        <f t="shared" si="4"/>
        <v>79.529299609954606</v>
      </c>
    </row>
    <row r="32" spans="1:20">
      <c r="A32" s="110">
        <v>12</v>
      </c>
      <c r="B32" s="105">
        <f t="shared" si="5"/>
        <v>43743</v>
      </c>
      <c r="C32" s="111">
        <f t="shared" si="6"/>
        <v>60.09783285280281</v>
      </c>
      <c r="D32" s="111">
        <f t="shared" si="1"/>
        <v>19.431466757151792</v>
      </c>
      <c r="E32" s="111">
        <f t="shared" si="7"/>
        <v>0</v>
      </c>
      <c r="F32" s="111">
        <f t="shared" si="8"/>
        <v>0</v>
      </c>
      <c r="G32" s="111">
        <v>0</v>
      </c>
      <c r="H32" s="111">
        <f t="shared" si="9"/>
        <v>79.529299609954606</v>
      </c>
      <c r="I32" s="111">
        <f t="shared" si="2"/>
        <v>10.016305475467135</v>
      </c>
      <c r="J32" s="111"/>
      <c r="K32" s="111"/>
      <c r="L32" s="111"/>
      <c r="M32" s="116">
        <f t="shared" si="10"/>
        <v>79.529299609954606</v>
      </c>
      <c r="N32" s="111">
        <f t="shared" si="3"/>
        <v>415.7748224243839</v>
      </c>
      <c r="T32" s="118">
        <f t="shared" si="4"/>
        <v>79.529299609954606</v>
      </c>
    </row>
    <row r="33" spans="1:20">
      <c r="A33" s="110">
        <v>13</v>
      </c>
      <c r="B33" s="105">
        <f t="shared" si="5"/>
        <v>43774</v>
      </c>
      <c r="C33" s="111">
        <f t="shared" si="6"/>
        <v>62.551827694292264</v>
      </c>
      <c r="D33" s="111">
        <f t="shared" si="1"/>
        <v>16.977471915662342</v>
      </c>
      <c r="E33" s="111">
        <f t="shared" si="7"/>
        <v>0</v>
      </c>
      <c r="F33" s="111">
        <f t="shared" si="8"/>
        <v>0</v>
      </c>
      <c r="G33" s="111">
        <v>0</v>
      </c>
      <c r="H33" s="111">
        <f t="shared" si="9"/>
        <v>79.529299609954606</v>
      </c>
      <c r="I33" s="111">
        <f t="shared" si="2"/>
        <v>10.425304615715378</v>
      </c>
      <c r="J33" s="111"/>
      <c r="K33" s="111"/>
      <c r="L33" s="111"/>
      <c r="M33" s="116">
        <f t="shared" si="10"/>
        <v>79.529299609954606</v>
      </c>
      <c r="N33" s="111">
        <f t="shared" si="3"/>
        <v>353.22299473009161</v>
      </c>
      <c r="T33" s="118">
        <f t="shared" si="4"/>
        <v>79.529299609954606</v>
      </c>
    </row>
    <row r="34" spans="1:20">
      <c r="A34" s="110">
        <v>14</v>
      </c>
      <c r="B34" s="105">
        <f t="shared" si="5"/>
        <v>43804</v>
      </c>
      <c r="C34" s="111">
        <f t="shared" si="6"/>
        <v>65.106027325142534</v>
      </c>
      <c r="D34" s="111">
        <f t="shared" si="1"/>
        <v>14.423272284812073</v>
      </c>
      <c r="E34" s="111">
        <f t="shared" si="7"/>
        <v>0</v>
      </c>
      <c r="F34" s="111">
        <f t="shared" si="8"/>
        <v>0</v>
      </c>
      <c r="G34" s="111">
        <v>0</v>
      </c>
      <c r="H34" s="111">
        <f t="shared" si="9"/>
        <v>79.529299609954606</v>
      </c>
      <c r="I34" s="111">
        <f t="shared" si="2"/>
        <v>10.851004554190421</v>
      </c>
      <c r="J34" s="111"/>
      <c r="K34" s="111"/>
      <c r="L34" s="111"/>
      <c r="M34" s="116">
        <f t="shared" si="10"/>
        <v>79.529299609954606</v>
      </c>
      <c r="N34" s="111">
        <f t="shared" si="3"/>
        <v>288.11696740494909</v>
      </c>
      <c r="T34" s="118">
        <f t="shared" si="4"/>
        <v>79.529299609954606</v>
      </c>
    </row>
    <row r="35" spans="1:20">
      <c r="A35" s="110">
        <v>15</v>
      </c>
      <c r="B35" s="105">
        <f t="shared" si="5"/>
        <v>43835</v>
      </c>
      <c r="C35" s="111">
        <f t="shared" si="6"/>
        <v>67.764523440919191</v>
      </c>
      <c r="D35" s="111">
        <f t="shared" si="1"/>
        <v>11.764776169035422</v>
      </c>
      <c r="E35" s="111">
        <f t="shared" si="7"/>
        <v>0</v>
      </c>
      <c r="F35" s="111">
        <f t="shared" si="8"/>
        <v>0</v>
      </c>
      <c r="G35" s="111">
        <v>0</v>
      </c>
      <c r="H35" s="111">
        <f t="shared" si="9"/>
        <v>79.52929960995462</v>
      </c>
      <c r="I35" s="111">
        <f t="shared" si="2"/>
        <v>11.2940872401532</v>
      </c>
      <c r="J35" s="111"/>
      <c r="K35" s="111"/>
      <c r="L35" s="111"/>
      <c r="M35" s="116">
        <f t="shared" si="10"/>
        <v>79.52929960995462</v>
      </c>
      <c r="N35" s="111">
        <f t="shared" si="3"/>
        <v>220.3524439640299</v>
      </c>
      <c r="T35" s="118">
        <f t="shared" si="4"/>
        <v>79.529299609954606</v>
      </c>
    </row>
    <row r="36" spans="1:20">
      <c r="A36" s="110">
        <v>16</v>
      </c>
      <c r="B36" s="105">
        <f t="shared" si="5"/>
        <v>43866</v>
      </c>
      <c r="C36" s="111">
        <f t="shared" si="6"/>
        <v>70.531574814756723</v>
      </c>
      <c r="D36" s="111">
        <f t="shared" si="1"/>
        <v>8.9977247951978878</v>
      </c>
      <c r="E36" s="111">
        <f t="shared" si="7"/>
        <v>0</v>
      </c>
      <c r="F36" s="111">
        <f t="shared" si="8"/>
        <v>0</v>
      </c>
      <c r="G36" s="111">
        <v>0</v>
      </c>
      <c r="H36" s="111">
        <f t="shared" si="9"/>
        <v>79.529299609954606</v>
      </c>
      <c r="I36" s="111">
        <f t="shared" si="2"/>
        <v>11.755262469126119</v>
      </c>
      <c r="J36" s="111"/>
      <c r="K36" s="111"/>
      <c r="L36" s="111"/>
      <c r="M36" s="116">
        <f t="shared" si="10"/>
        <v>79.529299609954606</v>
      </c>
      <c r="N36" s="111">
        <f t="shared" si="3"/>
        <v>149.82086914927316</v>
      </c>
      <c r="T36" s="118">
        <f t="shared" si="4"/>
        <v>79.529299609954606</v>
      </c>
    </row>
    <row r="37" spans="1:20">
      <c r="A37" s="110">
        <v>17</v>
      </c>
      <c r="B37" s="105">
        <f t="shared" si="5"/>
        <v>43895</v>
      </c>
      <c r="C37" s="111">
        <f t="shared" si="6"/>
        <v>73.411614119692615</v>
      </c>
      <c r="D37" s="111">
        <f t="shared" si="1"/>
        <v>6.1176854902619873</v>
      </c>
      <c r="E37" s="111">
        <f t="shared" si="7"/>
        <v>0</v>
      </c>
      <c r="F37" s="111">
        <f t="shared" si="8"/>
        <v>0</v>
      </c>
      <c r="G37" s="111">
        <v>0</v>
      </c>
      <c r="H37" s="111">
        <f t="shared" si="9"/>
        <v>79.529299609954606</v>
      </c>
      <c r="I37" s="111">
        <f t="shared" si="2"/>
        <v>12.235269019948769</v>
      </c>
      <c r="J37" s="111"/>
      <c r="K37" s="111"/>
      <c r="L37" s="111"/>
      <c r="M37" s="116">
        <f t="shared" si="10"/>
        <v>79.529299609954606</v>
      </c>
      <c r="N37" s="111">
        <f t="shared" si="3"/>
        <v>76.409255029580549</v>
      </c>
      <c r="T37" s="118">
        <f t="shared" si="4"/>
        <v>79.529299609954606</v>
      </c>
    </row>
    <row r="38" spans="1:20">
      <c r="A38" s="110">
        <v>18</v>
      </c>
      <c r="B38" s="105">
        <f t="shared" si="5"/>
        <v>43926</v>
      </c>
      <c r="C38" s="111">
        <f t="shared" si="6"/>
        <v>76.409255029580066</v>
      </c>
      <c r="D38" s="111">
        <f t="shared" si="1"/>
        <v>3.1200445803745391</v>
      </c>
      <c r="E38" s="111">
        <f t="shared" si="7"/>
        <v>0</v>
      </c>
      <c r="F38" s="111">
        <f t="shared" si="8"/>
        <v>0</v>
      </c>
      <c r="G38" s="111">
        <v>0</v>
      </c>
      <c r="H38" s="111">
        <f t="shared" si="9"/>
        <v>79.529299609954606</v>
      </c>
      <c r="I38" s="111">
        <f t="shared" si="2"/>
        <v>12.734875838263346</v>
      </c>
      <c r="J38" s="111"/>
      <c r="K38" s="111"/>
      <c r="L38" s="111"/>
      <c r="M38" s="116">
        <f t="shared" si="10"/>
        <v>79.529299609954606</v>
      </c>
      <c r="N38" s="111">
        <f t="shared" si="3"/>
        <v>4.8316906031686813E-13</v>
      </c>
      <c r="T38" s="118">
        <f t="shared" si="4"/>
        <v>79.529299609954606</v>
      </c>
    </row>
    <row r="39" spans="1:20">
      <c r="A39" s="110">
        <v>19</v>
      </c>
      <c r="B39" s="105">
        <f t="shared" si="5"/>
        <v>43956</v>
      </c>
      <c r="C39" s="111">
        <f t="shared" si="6"/>
        <v>0</v>
      </c>
      <c r="D39" s="111">
        <f t="shared" si="1"/>
        <v>0</v>
      </c>
      <c r="E39" s="111">
        <f t="shared" si="7"/>
        <v>0</v>
      </c>
      <c r="F39" s="111">
        <f t="shared" si="8"/>
        <v>0</v>
      </c>
      <c r="G39" s="111">
        <v>0</v>
      </c>
      <c r="H39" s="111">
        <f t="shared" si="9"/>
        <v>0</v>
      </c>
      <c r="I39" s="111">
        <f t="shared" si="2"/>
        <v>0</v>
      </c>
      <c r="J39" s="111"/>
      <c r="K39" s="111"/>
      <c r="L39" s="111"/>
      <c r="M39" s="116">
        <f t="shared" si="10"/>
        <v>0</v>
      </c>
      <c r="N39" s="111">
        <f t="shared" si="3"/>
        <v>4.8316906031686813E-13</v>
      </c>
      <c r="T39" s="118"/>
    </row>
    <row r="40" spans="1:20">
      <c r="A40" s="110">
        <v>20</v>
      </c>
      <c r="B40" s="105">
        <f t="shared" si="5"/>
        <v>43987</v>
      </c>
      <c r="C40" s="111">
        <f t="shared" si="6"/>
        <v>0</v>
      </c>
      <c r="D40" s="111">
        <f t="shared" si="1"/>
        <v>0</v>
      </c>
      <c r="E40" s="111">
        <f t="shared" si="7"/>
        <v>0</v>
      </c>
      <c r="F40" s="111">
        <f t="shared" si="8"/>
        <v>0</v>
      </c>
      <c r="G40" s="111">
        <v>0</v>
      </c>
      <c r="H40" s="111">
        <f t="shared" si="9"/>
        <v>0</v>
      </c>
      <c r="I40" s="111">
        <f t="shared" si="2"/>
        <v>0</v>
      </c>
      <c r="J40" s="111"/>
      <c r="K40" s="111"/>
      <c r="L40" s="111"/>
      <c r="M40" s="116">
        <f t="shared" si="10"/>
        <v>0</v>
      </c>
      <c r="N40" s="111">
        <f t="shared" si="3"/>
        <v>4.8316906031686813E-13</v>
      </c>
      <c r="T40" s="118"/>
    </row>
    <row r="41" spans="1:20">
      <c r="A41" s="110">
        <v>21</v>
      </c>
      <c r="B41" s="105">
        <f t="shared" si="5"/>
        <v>44017</v>
      </c>
      <c r="C41" s="111">
        <f t="shared" si="6"/>
        <v>0</v>
      </c>
      <c r="D41" s="111">
        <f t="shared" si="1"/>
        <v>0</v>
      </c>
      <c r="E41" s="111">
        <f t="shared" si="7"/>
        <v>0</v>
      </c>
      <c r="F41" s="111">
        <f t="shared" si="8"/>
        <v>0</v>
      </c>
      <c r="G41" s="111">
        <v>0</v>
      </c>
      <c r="H41" s="111">
        <f t="shared" si="9"/>
        <v>0</v>
      </c>
      <c r="I41" s="111">
        <f t="shared" si="2"/>
        <v>0</v>
      </c>
      <c r="J41" s="111"/>
      <c r="K41" s="111"/>
      <c r="L41" s="111"/>
      <c r="M41" s="116">
        <f t="shared" si="10"/>
        <v>0</v>
      </c>
      <c r="N41" s="111">
        <f t="shared" si="3"/>
        <v>4.8316906031686813E-13</v>
      </c>
      <c r="T41" s="118"/>
    </row>
    <row r="42" spans="1:20">
      <c r="A42" s="110">
        <v>22</v>
      </c>
      <c r="B42" s="105">
        <f t="shared" si="5"/>
        <v>44048</v>
      </c>
      <c r="C42" s="111">
        <f t="shared" si="6"/>
        <v>0</v>
      </c>
      <c r="D42" s="111">
        <f t="shared" si="1"/>
        <v>0</v>
      </c>
      <c r="E42" s="111">
        <f t="shared" si="7"/>
        <v>0</v>
      </c>
      <c r="F42" s="111">
        <f t="shared" si="8"/>
        <v>0</v>
      </c>
      <c r="G42" s="111">
        <v>0</v>
      </c>
      <c r="H42" s="111">
        <f t="shared" si="9"/>
        <v>0</v>
      </c>
      <c r="I42" s="111">
        <f t="shared" si="2"/>
        <v>0</v>
      </c>
      <c r="J42" s="111"/>
      <c r="K42" s="111"/>
      <c r="L42" s="111"/>
      <c r="M42" s="116">
        <f t="shared" si="10"/>
        <v>0</v>
      </c>
      <c r="N42" s="111">
        <f t="shared" si="3"/>
        <v>4.8316906031686813E-13</v>
      </c>
      <c r="T42" s="118"/>
    </row>
    <row r="43" spans="1:20">
      <c r="A43" s="110">
        <v>23</v>
      </c>
      <c r="B43" s="105">
        <f t="shared" si="5"/>
        <v>44079</v>
      </c>
      <c r="C43" s="111">
        <f t="shared" si="6"/>
        <v>0</v>
      </c>
      <c r="D43" s="111">
        <f t="shared" si="1"/>
        <v>0</v>
      </c>
      <c r="E43" s="111">
        <f t="shared" si="7"/>
        <v>0</v>
      </c>
      <c r="F43" s="111">
        <f t="shared" si="8"/>
        <v>0</v>
      </c>
      <c r="G43" s="111">
        <v>0</v>
      </c>
      <c r="H43" s="111">
        <f t="shared" si="9"/>
        <v>0</v>
      </c>
      <c r="I43" s="111">
        <f t="shared" si="2"/>
        <v>0</v>
      </c>
      <c r="J43" s="111"/>
      <c r="K43" s="111"/>
      <c r="L43" s="111"/>
      <c r="M43" s="116">
        <f t="shared" si="10"/>
        <v>0</v>
      </c>
      <c r="N43" s="111">
        <f t="shared" si="3"/>
        <v>4.8316906031686813E-13</v>
      </c>
      <c r="T43" s="118"/>
    </row>
    <row r="44" spans="1:20">
      <c r="A44" s="110">
        <v>24</v>
      </c>
      <c r="B44" s="105">
        <f t="shared" si="5"/>
        <v>44109</v>
      </c>
      <c r="C44" s="111">
        <f t="shared" si="6"/>
        <v>0</v>
      </c>
      <c r="D44" s="111">
        <f t="shared" si="1"/>
        <v>0</v>
      </c>
      <c r="E44" s="111">
        <f t="shared" si="7"/>
        <v>0</v>
      </c>
      <c r="F44" s="111">
        <f t="shared" si="8"/>
        <v>0</v>
      </c>
      <c r="G44" s="111">
        <v>0</v>
      </c>
      <c r="H44" s="111">
        <f t="shared" si="9"/>
        <v>0</v>
      </c>
      <c r="I44" s="111">
        <f t="shared" si="2"/>
        <v>0</v>
      </c>
      <c r="J44" s="111"/>
      <c r="K44" s="111"/>
      <c r="L44" s="111"/>
      <c r="M44" s="116">
        <f t="shared" si="10"/>
        <v>0</v>
      </c>
      <c r="N44" s="111">
        <f t="shared" si="3"/>
        <v>4.8316906031686813E-13</v>
      </c>
      <c r="T44" s="118"/>
    </row>
    <row r="45" spans="1:20">
      <c r="A45" s="110">
        <v>25</v>
      </c>
      <c r="B45" s="105">
        <f t="shared" si="5"/>
        <v>44140</v>
      </c>
      <c r="C45" s="111">
        <f t="shared" si="6"/>
        <v>0</v>
      </c>
      <c r="D45" s="111">
        <f t="shared" si="1"/>
        <v>0</v>
      </c>
      <c r="E45" s="111">
        <f t="shared" si="7"/>
        <v>0</v>
      </c>
      <c r="F45" s="111">
        <f t="shared" si="8"/>
        <v>0</v>
      </c>
      <c r="G45" s="111">
        <v>0</v>
      </c>
      <c r="H45" s="111">
        <f t="shared" si="9"/>
        <v>0</v>
      </c>
      <c r="I45" s="111">
        <f t="shared" si="2"/>
        <v>0</v>
      </c>
      <c r="J45" s="111"/>
      <c r="K45" s="111"/>
      <c r="L45" s="111"/>
      <c r="M45" s="116">
        <f t="shared" si="10"/>
        <v>0</v>
      </c>
      <c r="N45" s="111">
        <f t="shared" si="3"/>
        <v>4.8316906031686813E-13</v>
      </c>
      <c r="T45" s="118"/>
    </row>
    <row r="46" spans="1:20">
      <c r="A46" s="110">
        <v>26</v>
      </c>
      <c r="B46" s="105">
        <f t="shared" si="5"/>
        <v>44170</v>
      </c>
      <c r="C46" s="111">
        <f t="shared" si="6"/>
        <v>0</v>
      </c>
      <c r="D46" s="111">
        <f t="shared" si="1"/>
        <v>0</v>
      </c>
      <c r="E46" s="111">
        <f t="shared" si="7"/>
        <v>0</v>
      </c>
      <c r="F46" s="111">
        <f t="shared" si="8"/>
        <v>0</v>
      </c>
      <c r="G46" s="111">
        <v>0</v>
      </c>
      <c r="H46" s="111">
        <f t="shared" si="9"/>
        <v>0</v>
      </c>
      <c r="I46" s="111">
        <f t="shared" si="2"/>
        <v>0</v>
      </c>
      <c r="J46" s="111"/>
      <c r="K46" s="111"/>
      <c r="L46" s="111"/>
      <c r="M46" s="116">
        <f t="shared" si="10"/>
        <v>0</v>
      </c>
      <c r="N46" s="111">
        <f t="shared" si="3"/>
        <v>4.8316906031686813E-13</v>
      </c>
      <c r="T46" s="118"/>
    </row>
    <row r="47" spans="1:20">
      <c r="A47" s="110">
        <v>27</v>
      </c>
      <c r="B47" s="105">
        <f t="shared" si="5"/>
        <v>44201</v>
      </c>
      <c r="C47" s="111">
        <f t="shared" si="6"/>
        <v>0</v>
      </c>
      <c r="D47" s="111">
        <f t="shared" si="1"/>
        <v>0</v>
      </c>
      <c r="E47" s="111">
        <f t="shared" si="7"/>
        <v>0</v>
      </c>
      <c r="F47" s="111">
        <f t="shared" si="8"/>
        <v>0</v>
      </c>
      <c r="G47" s="111">
        <v>0</v>
      </c>
      <c r="H47" s="111">
        <f t="shared" si="9"/>
        <v>0</v>
      </c>
      <c r="I47" s="111">
        <f t="shared" si="2"/>
        <v>0</v>
      </c>
      <c r="J47" s="111"/>
      <c r="K47" s="111"/>
      <c r="L47" s="111"/>
      <c r="M47" s="116">
        <f t="shared" si="10"/>
        <v>0</v>
      </c>
      <c r="N47" s="111">
        <f t="shared" si="3"/>
        <v>4.8316906031686813E-13</v>
      </c>
      <c r="T47" s="118"/>
    </row>
    <row r="48" spans="1:20">
      <c r="A48" s="110">
        <v>28</v>
      </c>
      <c r="B48" s="105">
        <f t="shared" si="5"/>
        <v>44232</v>
      </c>
      <c r="C48" s="111">
        <f t="shared" si="6"/>
        <v>0</v>
      </c>
      <c r="D48" s="111">
        <f t="shared" si="1"/>
        <v>0</v>
      </c>
      <c r="E48" s="111">
        <f t="shared" si="7"/>
        <v>0</v>
      </c>
      <c r="F48" s="111">
        <f t="shared" si="8"/>
        <v>0</v>
      </c>
      <c r="G48" s="111">
        <v>0</v>
      </c>
      <c r="H48" s="111">
        <f t="shared" si="9"/>
        <v>0</v>
      </c>
      <c r="I48" s="111">
        <f t="shared" si="2"/>
        <v>0</v>
      </c>
      <c r="J48" s="111"/>
      <c r="K48" s="111"/>
      <c r="L48" s="111"/>
      <c r="M48" s="116">
        <f t="shared" si="10"/>
        <v>0</v>
      </c>
      <c r="N48" s="111">
        <f t="shared" si="3"/>
        <v>4.8316906031686813E-13</v>
      </c>
      <c r="T48" s="118"/>
    </row>
    <row r="49" spans="1:20">
      <c r="A49" s="110">
        <v>29</v>
      </c>
      <c r="B49" s="105">
        <f t="shared" si="5"/>
        <v>44260</v>
      </c>
      <c r="C49" s="111">
        <f t="shared" si="6"/>
        <v>0</v>
      </c>
      <c r="D49" s="111">
        <f t="shared" si="1"/>
        <v>0</v>
      </c>
      <c r="E49" s="111">
        <f t="shared" si="7"/>
        <v>0</v>
      </c>
      <c r="F49" s="111">
        <f t="shared" si="8"/>
        <v>0</v>
      </c>
      <c r="G49" s="111">
        <v>0</v>
      </c>
      <c r="H49" s="111">
        <f t="shared" si="9"/>
        <v>0</v>
      </c>
      <c r="I49" s="111">
        <f t="shared" si="2"/>
        <v>0</v>
      </c>
      <c r="J49" s="111"/>
      <c r="K49" s="111"/>
      <c r="L49" s="111"/>
      <c r="M49" s="116">
        <f t="shared" si="10"/>
        <v>0</v>
      </c>
      <c r="N49" s="111">
        <f t="shared" si="3"/>
        <v>4.8316906031686813E-13</v>
      </c>
      <c r="T49" s="118"/>
    </row>
    <row r="50" spans="1:20">
      <c r="A50" s="110">
        <v>30</v>
      </c>
      <c r="B50" s="105">
        <f t="shared" si="5"/>
        <v>44291</v>
      </c>
      <c r="C50" s="111">
        <f t="shared" si="6"/>
        <v>0</v>
      </c>
      <c r="D50" s="111">
        <f t="shared" si="1"/>
        <v>0</v>
      </c>
      <c r="E50" s="111">
        <f t="shared" si="7"/>
        <v>0</v>
      </c>
      <c r="F50" s="111">
        <f t="shared" si="8"/>
        <v>0</v>
      </c>
      <c r="G50" s="111">
        <v>0</v>
      </c>
      <c r="H50" s="111">
        <f t="shared" si="9"/>
        <v>0</v>
      </c>
      <c r="I50" s="111">
        <f t="shared" si="2"/>
        <v>0</v>
      </c>
      <c r="J50" s="111"/>
      <c r="K50" s="111"/>
      <c r="L50" s="111"/>
      <c r="M50" s="116">
        <f t="shared" si="10"/>
        <v>0</v>
      </c>
      <c r="N50" s="111">
        <f t="shared" si="3"/>
        <v>4.8316906031686813E-13</v>
      </c>
      <c r="T50" s="118"/>
    </row>
    <row r="51" spans="1:20">
      <c r="A51" s="110">
        <v>31</v>
      </c>
      <c r="B51" s="105">
        <f t="shared" si="5"/>
        <v>44321</v>
      </c>
      <c r="C51" s="111">
        <f t="shared" si="6"/>
        <v>0</v>
      </c>
      <c r="D51" s="111">
        <f t="shared" si="1"/>
        <v>0</v>
      </c>
      <c r="E51" s="111">
        <f t="shared" si="7"/>
        <v>0</v>
      </c>
      <c r="F51" s="111">
        <f t="shared" si="8"/>
        <v>0</v>
      </c>
      <c r="G51" s="111">
        <v>0</v>
      </c>
      <c r="H51" s="111">
        <f t="shared" si="9"/>
        <v>0</v>
      </c>
      <c r="I51" s="111">
        <f t="shared" si="2"/>
        <v>0</v>
      </c>
      <c r="J51" s="111"/>
      <c r="K51" s="111"/>
      <c r="L51" s="111"/>
      <c r="M51" s="116">
        <f t="shared" si="10"/>
        <v>0</v>
      </c>
      <c r="N51" s="111">
        <f t="shared" si="3"/>
        <v>4.8316906031686813E-13</v>
      </c>
      <c r="T51" s="118"/>
    </row>
    <row r="52" spans="1:20">
      <c r="A52" s="110">
        <v>32</v>
      </c>
      <c r="B52" s="105">
        <f t="shared" si="5"/>
        <v>44352</v>
      </c>
      <c r="C52" s="111">
        <f t="shared" si="6"/>
        <v>0</v>
      </c>
      <c r="D52" s="111">
        <f t="shared" si="1"/>
        <v>0</v>
      </c>
      <c r="E52" s="111">
        <f t="shared" si="7"/>
        <v>0</v>
      </c>
      <c r="F52" s="111">
        <f t="shared" si="8"/>
        <v>0</v>
      </c>
      <c r="G52" s="111">
        <v>0</v>
      </c>
      <c r="H52" s="111">
        <f t="shared" si="9"/>
        <v>0</v>
      </c>
      <c r="I52" s="111">
        <f t="shared" si="2"/>
        <v>0</v>
      </c>
      <c r="J52" s="111"/>
      <c r="K52" s="111"/>
      <c r="L52" s="111"/>
      <c r="M52" s="116">
        <f t="shared" si="10"/>
        <v>0</v>
      </c>
      <c r="N52" s="111">
        <f t="shared" si="3"/>
        <v>4.8316906031686813E-13</v>
      </c>
      <c r="T52" s="118"/>
    </row>
    <row r="53" spans="1:20">
      <c r="A53" s="110">
        <v>33</v>
      </c>
      <c r="B53" s="105">
        <f t="shared" si="5"/>
        <v>44382</v>
      </c>
      <c r="C53" s="111">
        <f t="shared" si="6"/>
        <v>0</v>
      </c>
      <c r="D53" s="111">
        <f t="shared" si="1"/>
        <v>0</v>
      </c>
      <c r="E53" s="111">
        <f t="shared" si="7"/>
        <v>0</v>
      </c>
      <c r="F53" s="111">
        <f t="shared" si="8"/>
        <v>0</v>
      </c>
      <c r="G53" s="111">
        <v>0</v>
      </c>
      <c r="H53" s="111">
        <f t="shared" si="9"/>
        <v>0</v>
      </c>
      <c r="I53" s="111">
        <f t="shared" si="2"/>
        <v>0</v>
      </c>
      <c r="J53" s="111"/>
      <c r="K53" s="111"/>
      <c r="L53" s="111"/>
      <c r="M53" s="116">
        <f t="shared" si="10"/>
        <v>0</v>
      </c>
      <c r="N53" s="111">
        <f t="shared" si="3"/>
        <v>4.8316906031686813E-13</v>
      </c>
      <c r="T53" s="118"/>
    </row>
    <row r="54" spans="1:20">
      <c r="A54" s="110">
        <v>34</v>
      </c>
      <c r="B54" s="105">
        <f t="shared" si="5"/>
        <v>44413</v>
      </c>
      <c r="C54" s="111">
        <f t="shared" si="6"/>
        <v>0</v>
      </c>
      <c r="D54" s="111">
        <f t="shared" si="1"/>
        <v>0</v>
      </c>
      <c r="E54" s="111">
        <f t="shared" si="7"/>
        <v>0</v>
      </c>
      <c r="F54" s="111">
        <f t="shared" si="8"/>
        <v>0</v>
      </c>
      <c r="G54" s="111">
        <v>0</v>
      </c>
      <c r="H54" s="111">
        <f t="shared" si="9"/>
        <v>0</v>
      </c>
      <c r="I54" s="111">
        <f t="shared" si="2"/>
        <v>0</v>
      </c>
      <c r="J54" s="111"/>
      <c r="K54" s="111"/>
      <c r="L54" s="111"/>
      <c r="M54" s="116">
        <f t="shared" si="10"/>
        <v>0</v>
      </c>
      <c r="N54" s="111">
        <f t="shared" si="3"/>
        <v>4.8316906031686813E-13</v>
      </c>
      <c r="T54" s="118"/>
    </row>
    <row r="55" spans="1:20">
      <c r="A55" s="110">
        <v>35</v>
      </c>
      <c r="B55" s="105">
        <f t="shared" si="5"/>
        <v>44444</v>
      </c>
      <c r="C55" s="111">
        <f t="shared" si="6"/>
        <v>0</v>
      </c>
      <c r="D55" s="111">
        <f t="shared" si="1"/>
        <v>0</v>
      </c>
      <c r="E55" s="111">
        <f t="shared" si="7"/>
        <v>0</v>
      </c>
      <c r="F55" s="111">
        <f t="shared" si="8"/>
        <v>0</v>
      </c>
      <c r="G55" s="111">
        <v>0</v>
      </c>
      <c r="H55" s="111">
        <f t="shared" si="9"/>
        <v>0</v>
      </c>
      <c r="I55" s="111">
        <f t="shared" si="2"/>
        <v>0</v>
      </c>
      <c r="J55" s="111"/>
      <c r="K55" s="111"/>
      <c r="L55" s="111"/>
      <c r="M55" s="116">
        <f t="shared" si="10"/>
        <v>0</v>
      </c>
      <c r="N55" s="111">
        <f t="shared" si="3"/>
        <v>4.8316906031686813E-13</v>
      </c>
      <c r="T55" s="118"/>
    </row>
    <row r="56" spans="1:20">
      <c r="A56" s="110">
        <v>36</v>
      </c>
      <c r="B56" s="105">
        <f t="shared" si="5"/>
        <v>44474</v>
      </c>
      <c r="C56" s="111">
        <f t="shared" si="6"/>
        <v>0</v>
      </c>
      <c r="D56" s="111">
        <f t="shared" si="1"/>
        <v>0</v>
      </c>
      <c r="E56" s="111">
        <f t="shared" si="7"/>
        <v>0</v>
      </c>
      <c r="F56" s="111">
        <f t="shared" si="8"/>
        <v>0</v>
      </c>
      <c r="G56" s="111">
        <v>0</v>
      </c>
      <c r="H56" s="111">
        <f t="shared" si="9"/>
        <v>0</v>
      </c>
      <c r="I56" s="111">
        <f t="shared" si="2"/>
        <v>0</v>
      </c>
      <c r="J56" s="111"/>
      <c r="K56" s="111"/>
      <c r="L56" s="111"/>
      <c r="M56" s="116">
        <f t="shared" si="10"/>
        <v>0</v>
      </c>
      <c r="N56" s="111">
        <f t="shared" si="3"/>
        <v>4.8316906031686813E-13</v>
      </c>
      <c r="T56" s="118"/>
    </row>
    <row r="57" spans="1:20">
      <c r="A57" s="110">
        <v>37</v>
      </c>
      <c r="B57" s="105">
        <f t="shared" si="5"/>
        <v>44505</v>
      </c>
      <c r="C57" s="111">
        <f t="shared" si="6"/>
        <v>0</v>
      </c>
      <c r="D57" s="111">
        <f t="shared" si="1"/>
        <v>0</v>
      </c>
      <c r="E57" s="111">
        <f t="shared" si="7"/>
        <v>0</v>
      </c>
      <c r="F57" s="111">
        <f t="shared" si="8"/>
        <v>0</v>
      </c>
      <c r="G57" s="111">
        <v>0</v>
      </c>
      <c r="H57" s="111">
        <f t="shared" si="9"/>
        <v>0</v>
      </c>
      <c r="I57" s="111">
        <f t="shared" si="2"/>
        <v>0</v>
      </c>
      <c r="J57" s="111"/>
      <c r="K57" s="111"/>
      <c r="L57" s="111"/>
      <c r="M57" s="116">
        <f t="shared" si="10"/>
        <v>0</v>
      </c>
      <c r="N57" s="111">
        <f t="shared" si="3"/>
        <v>4.8316906031686813E-13</v>
      </c>
      <c r="T57" s="118"/>
    </row>
    <row r="58" spans="1:20">
      <c r="A58" s="110">
        <v>38</v>
      </c>
      <c r="B58" s="105">
        <f t="shared" si="5"/>
        <v>44535</v>
      </c>
      <c r="C58" s="111">
        <f t="shared" si="6"/>
        <v>0</v>
      </c>
      <c r="D58" s="111">
        <f t="shared" si="1"/>
        <v>0</v>
      </c>
      <c r="E58" s="111">
        <f t="shared" si="7"/>
        <v>0</v>
      </c>
      <c r="F58" s="111">
        <f t="shared" si="8"/>
        <v>0</v>
      </c>
      <c r="G58" s="111">
        <v>0</v>
      </c>
      <c r="H58" s="111">
        <f t="shared" si="9"/>
        <v>0</v>
      </c>
      <c r="I58" s="111">
        <f t="shared" si="2"/>
        <v>0</v>
      </c>
      <c r="J58" s="111"/>
      <c r="K58" s="111"/>
      <c r="L58" s="111"/>
      <c r="M58" s="116">
        <f t="shared" si="10"/>
        <v>0</v>
      </c>
      <c r="N58" s="111">
        <f t="shared" si="3"/>
        <v>4.8316906031686813E-13</v>
      </c>
      <c r="T58" s="118"/>
    </row>
    <row r="59" spans="1:20">
      <c r="A59" s="110">
        <v>39</v>
      </c>
      <c r="B59" s="105">
        <f t="shared" si="5"/>
        <v>44566</v>
      </c>
      <c r="C59" s="111">
        <f t="shared" si="6"/>
        <v>0</v>
      </c>
      <c r="D59" s="111">
        <f t="shared" si="1"/>
        <v>0</v>
      </c>
      <c r="E59" s="111">
        <f t="shared" si="7"/>
        <v>0</v>
      </c>
      <c r="F59" s="111">
        <f t="shared" si="8"/>
        <v>0</v>
      </c>
      <c r="G59" s="111">
        <v>0</v>
      </c>
      <c r="H59" s="111">
        <f t="shared" si="9"/>
        <v>0</v>
      </c>
      <c r="I59" s="111">
        <f t="shared" si="2"/>
        <v>0</v>
      </c>
      <c r="J59" s="111"/>
      <c r="K59" s="111"/>
      <c r="L59" s="111"/>
      <c r="M59" s="116">
        <f t="shared" si="10"/>
        <v>0</v>
      </c>
      <c r="N59" s="111">
        <f t="shared" si="3"/>
        <v>4.8316906031686813E-13</v>
      </c>
      <c r="T59" s="118"/>
    </row>
    <row r="60" spans="1:20">
      <c r="A60" s="110">
        <v>40</v>
      </c>
      <c r="B60" s="105">
        <f t="shared" si="5"/>
        <v>44597</v>
      </c>
      <c r="C60" s="111">
        <f t="shared" si="6"/>
        <v>0</v>
      </c>
      <c r="D60" s="111">
        <f t="shared" si="1"/>
        <v>0</v>
      </c>
      <c r="E60" s="111">
        <f t="shared" si="7"/>
        <v>0</v>
      </c>
      <c r="F60" s="111">
        <f t="shared" si="8"/>
        <v>0</v>
      </c>
      <c r="G60" s="111">
        <v>0</v>
      </c>
      <c r="H60" s="111">
        <f t="shared" si="9"/>
        <v>0</v>
      </c>
      <c r="I60" s="111">
        <f t="shared" si="2"/>
        <v>0</v>
      </c>
      <c r="J60" s="111"/>
      <c r="K60" s="111"/>
      <c r="L60" s="111"/>
      <c r="M60" s="116">
        <f t="shared" si="10"/>
        <v>0</v>
      </c>
      <c r="N60" s="111">
        <f t="shared" si="3"/>
        <v>4.8316906031686813E-13</v>
      </c>
      <c r="T60" s="118"/>
    </row>
    <row r="61" spans="1:20">
      <c r="A61" s="110">
        <v>41</v>
      </c>
      <c r="B61" s="105">
        <f t="shared" si="5"/>
        <v>44625</v>
      </c>
      <c r="C61" s="111">
        <f t="shared" si="6"/>
        <v>0</v>
      </c>
      <c r="D61" s="111">
        <f t="shared" si="1"/>
        <v>0</v>
      </c>
      <c r="E61" s="111">
        <f t="shared" si="7"/>
        <v>0</v>
      </c>
      <c r="F61" s="111">
        <f t="shared" si="8"/>
        <v>0</v>
      </c>
      <c r="G61" s="111">
        <v>0</v>
      </c>
      <c r="H61" s="111">
        <f t="shared" si="9"/>
        <v>0</v>
      </c>
      <c r="I61" s="111">
        <f t="shared" si="2"/>
        <v>0</v>
      </c>
      <c r="J61" s="111"/>
      <c r="K61" s="111"/>
      <c r="L61" s="111"/>
      <c r="M61" s="116">
        <f t="shared" si="10"/>
        <v>0</v>
      </c>
      <c r="N61" s="111">
        <f t="shared" si="3"/>
        <v>4.8316906031686813E-13</v>
      </c>
      <c r="T61" s="118"/>
    </row>
    <row r="62" spans="1:20">
      <c r="A62" s="110">
        <v>42</v>
      </c>
      <c r="B62" s="105">
        <f t="shared" si="5"/>
        <v>44656</v>
      </c>
      <c r="C62" s="111">
        <f t="shared" si="6"/>
        <v>0</v>
      </c>
      <c r="D62" s="111">
        <f t="shared" si="1"/>
        <v>0</v>
      </c>
      <c r="E62" s="111">
        <f t="shared" si="7"/>
        <v>0</v>
      </c>
      <c r="F62" s="111">
        <f t="shared" si="8"/>
        <v>0</v>
      </c>
      <c r="G62" s="111">
        <v>0</v>
      </c>
      <c r="H62" s="111">
        <f t="shared" si="9"/>
        <v>0</v>
      </c>
      <c r="I62" s="111">
        <f t="shared" si="2"/>
        <v>0</v>
      </c>
      <c r="J62" s="111"/>
      <c r="K62" s="111"/>
      <c r="L62" s="111"/>
      <c r="M62" s="116">
        <f t="shared" si="10"/>
        <v>0</v>
      </c>
      <c r="N62" s="111">
        <f t="shared" si="3"/>
        <v>4.8316906031686813E-13</v>
      </c>
      <c r="T62" s="118"/>
    </row>
    <row r="63" spans="1:20">
      <c r="A63" s="110">
        <v>43</v>
      </c>
      <c r="B63" s="105">
        <f t="shared" si="5"/>
        <v>44686</v>
      </c>
      <c r="C63" s="111">
        <f t="shared" si="6"/>
        <v>0</v>
      </c>
      <c r="D63" s="111">
        <f t="shared" si="1"/>
        <v>0</v>
      </c>
      <c r="E63" s="111">
        <f t="shared" si="7"/>
        <v>0</v>
      </c>
      <c r="F63" s="111">
        <f t="shared" si="8"/>
        <v>0</v>
      </c>
      <c r="G63" s="111">
        <v>0</v>
      </c>
      <c r="H63" s="111">
        <f t="shared" si="9"/>
        <v>0</v>
      </c>
      <c r="I63" s="111">
        <f t="shared" si="2"/>
        <v>0</v>
      </c>
      <c r="J63" s="111"/>
      <c r="K63" s="111"/>
      <c r="L63" s="111"/>
      <c r="M63" s="116">
        <f t="shared" si="10"/>
        <v>0</v>
      </c>
      <c r="N63" s="111">
        <f t="shared" si="3"/>
        <v>4.8316906031686813E-13</v>
      </c>
      <c r="T63" s="118"/>
    </row>
    <row r="64" spans="1:20">
      <c r="A64" s="110">
        <v>44</v>
      </c>
      <c r="B64" s="105">
        <f t="shared" si="5"/>
        <v>44717</v>
      </c>
      <c r="C64" s="111">
        <f t="shared" si="6"/>
        <v>0</v>
      </c>
      <c r="D64" s="111">
        <f t="shared" si="1"/>
        <v>0</v>
      </c>
      <c r="E64" s="111">
        <f t="shared" si="7"/>
        <v>0</v>
      </c>
      <c r="F64" s="111">
        <f t="shared" si="8"/>
        <v>0</v>
      </c>
      <c r="G64" s="111">
        <v>0</v>
      </c>
      <c r="H64" s="111">
        <f t="shared" si="9"/>
        <v>0</v>
      </c>
      <c r="I64" s="111">
        <f t="shared" si="2"/>
        <v>0</v>
      </c>
      <c r="J64" s="111"/>
      <c r="K64" s="111"/>
      <c r="L64" s="111"/>
      <c r="M64" s="116">
        <f t="shared" si="10"/>
        <v>0</v>
      </c>
      <c r="N64" s="111">
        <f t="shared" si="3"/>
        <v>4.8316906031686813E-13</v>
      </c>
      <c r="T64" s="118"/>
    </row>
    <row r="65" spans="1:20">
      <c r="A65" s="110">
        <v>45</v>
      </c>
      <c r="B65" s="105">
        <f t="shared" si="5"/>
        <v>44747</v>
      </c>
      <c r="C65" s="111">
        <f t="shared" si="6"/>
        <v>0</v>
      </c>
      <c r="D65" s="111">
        <f t="shared" si="1"/>
        <v>0</v>
      </c>
      <c r="E65" s="111">
        <f t="shared" si="7"/>
        <v>0</v>
      </c>
      <c r="F65" s="111">
        <f t="shared" si="8"/>
        <v>0</v>
      </c>
      <c r="G65" s="111">
        <v>0</v>
      </c>
      <c r="H65" s="111">
        <f t="shared" si="9"/>
        <v>0</v>
      </c>
      <c r="I65" s="111">
        <f t="shared" si="2"/>
        <v>0</v>
      </c>
      <c r="J65" s="111"/>
      <c r="K65" s="111"/>
      <c r="L65" s="111"/>
      <c r="M65" s="116">
        <f t="shared" si="10"/>
        <v>0</v>
      </c>
      <c r="N65" s="111">
        <f t="shared" si="3"/>
        <v>4.8316906031686813E-13</v>
      </c>
      <c r="T65" s="118"/>
    </row>
    <row r="66" spans="1:20">
      <c r="A66" s="110">
        <v>46</v>
      </c>
      <c r="B66" s="105">
        <f t="shared" si="5"/>
        <v>44778</v>
      </c>
      <c r="C66" s="111">
        <f t="shared" si="6"/>
        <v>0</v>
      </c>
      <c r="D66" s="111">
        <f t="shared" si="1"/>
        <v>0</v>
      </c>
      <c r="E66" s="111">
        <f t="shared" si="7"/>
        <v>0</v>
      </c>
      <c r="F66" s="111">
        <f t="shared" si="8"/>
        <v>0</v>
      </c>
      <c r="G66" s="111">
        <v>0</v>
      </c>
      <c r="H66" s="111">
        <f t="shared" si="9"/>
        <v>0</v>
      </c>
      <c r="I66" s="111">
        <f t="shared" si="2"/>
        <v>0</v>
      </c>
      <c r="J66" s="111"/>
      <c r="K66" s="111"/>
      <c r="L66" s="111"/>
      <c r="M66" s="116">
        <f t="shared" si="10"/>
        <v>0</v>
      </c>
      <c r="N66" s="111">
        <f t="shared" si="3"/>
        <v>4.8316906031686813E-13</v>
      </c>
      <c r="T66" s="118"/>
    </row>
    <row r="67" spans="1:20">
      <c r="A67" s="110">
        <v>47</v>
      </c>
      <c r="B67" s="105">
        <f t="shared" si="5"/>
        <v>44809</v>
      </c>
      <c r="C67" s="111">
        <f t="shared" si="6"/>
        <v>0</v>
      </c>
      <c r="D67" s="111">
        <f t="shared" si="1"/>
        <v>0</v>
      </c>
      <c r="E67" s="111">
        <f t="shared" si="7"/>
        <v>0</v>
      </c>
      <c r="F67" s="111">
        <f t="shared" si="8"/>
        <v>0</v>
      </c>
      <c r="G67" s="111">
        <v>0</v>
      </c>
      <c r="H67" s="111">
        <f t="shared" si="9"/>
        <v>0</v>
      </c>
      <c r="I67" s="111">
        <f t="shared" si="2"/>
        <v>0</v>
      </c>
      <c r="J67" s="111"/>
      <c r="K67" s="111"/>
      <c r="L67" s="111"/>
      <c r="M67" s="116">
        <f t="shared" si="10"/>
        <v>0</v>
      </c>
      <c r="N67" s="111">
        <f t="shared" si="3"/>
        <v>4.8316906031686813E-13</v>
      </c>
      <c r="T67" s="118"/>
    </row>
    <row r="68" spans="1:20">
      <c r="A68" s="110">
        <v>48</v>
      </c>
      <c r="B68" s="105">
        <f t="shared" si="5"/>
        <v>44839</v>
      </c>
      <c r="C68" s="111">
        <f t="shared" ref="C68:C104" si="11">IF(A68&lt;=$F$7,(IF($F$6&lt;=40%,IF($F$9=$I$6,(-$C$20-$F$5*$K$14)/$F$7+IF(A68=$F$7,$F$5*$K$14,0),MINA(((N67-$F$5*$K$14)/($F$7-A68+1)*$F$10),(N67-$F$5*$K$14))+IF(A68=$F$7,$F$5*$K$14,0)),IF(A68=1,F53*(F54-40%),IF($F$9=$I$6,(-$C$20-$F$5*$K$14)/$F$7+IF(A68=$F$7,$F$5*$K$14,0),MINA(((N67-$F$5*$K$14)/($F$7-A68+1)*$F$10),(N67-$F$5*$K$14))+IF(A68=$F$7,$F$5*$K$14,0))))),0)</f>
        <v>0</v>
      </c>
      <c r="D68" s="111">
        <f t="shared" si="1"/>
        <v>0</v>
      </c>
      <c r="E68" s="111">
        <f t="shared" si="7"/>
        <v>0</v>
      </c>
      <c r="F68" s="111">
        <f t="shared" si="8"/>
        <v>0</v>
      </c>
      <c r="G68" s="111">
        <v>0</v>
      </c>
      <c r="H68" s="111">
        <f t="shared" si="9"/>
        <v>0</v>
      </c>
      <c r="I68" s="111">
        <f t="shared" si="2"/>
        <v>0</v>
      </c>
      <c r="J68" s="111"/>
      <c r="K68" s="111"/>
      <c r="L68" s="111"/>
      <c r="M68" s="116">
        <f t="shared" si="10"/>
        <v>0</v>
      </c>
      <c r="N68" s="111">
        <f t="shared" si="3"/>
        <v>4.8316906031686813E-13</v>
      </c>
      <c r="T68" s="118"/>
    </row>
    <row r="69" spans="1:20">
      <c r="A69" s="110">
        <v>49</v>
      </c>
      <c r="B69" s="105">
        <f t="shared" si="5"/>
        <v>44870</v>
      </c>
      <c r="C69" s="111">
        <f t="shared" si="11"/>
        <v>0</v>
      </c>
      <c r="D69" s="111">
        <f t="shared" si="1"/>
        <v>0</v>
      </c>
      <c r="E69" s="111">
        <f t="shared" si="7"/>
        <v>0</v>
      </c>
      <c r="F69" s="111">
        <f t="shared" si="8"/>
        <v>0</v>
      </c>
      <c r="G69" s="111">
        <f t="shared" ref="G69:G104" si="12">IF(A69&lt;=$F$7,$F$5*VLOOKUP(ROUNDUP(A69/12,0),$O$7:$R$14,4,0)/12,0)-F69</f>
        <v>0</v>
      </c>
      <c r="H69" s="111">
        <f t="shared" si="9"/>
        <v>0</v>
      </c>
      <c r="I69" s="111">
        <f t="shared" si="2"/>
        <v>0</v>
      </c>
      <c r="J69" s="111"/>
      <c r="K69" s="111"/>
      <c r="L69" s="111"/>
      <c r="M69" s="116">
        <f t="shared" si="10"/>
        <v>0</v>
      </c>
      <c r="N69" s="111">
        <f t="shared" si="3"/>
        <v>4.8316906031686813E-13</v>
      </c>
    </row>
    <row r="70" spans="1:20">
      <c r="A70" s="110">
        <v>50</v>
      </c>
      <c r="B70" s="105">
        <f t="shared" si="5"/>
        <v>44900</v>
      </c>
      <c r="C70" s="111">
        <f t="shared" si="11"/>
        <v>0</v>
      </c>
      <c r="D70" s="111">
        <f t="shared" si="1"/>
        <v>0</v>
      </c>
      <c r="E70" s="111">
        <f t="shared" si="7"/>
        <v>0</v>
      </c>
      <c r="F70" s="111">
        <f t="shared" si="8"/>
        <v>0</v>
      </c>
      <c r="G70" s="111">
        <f t="shared" si="12"/>
        <v>0</v>
      </c>
      <c r="H70" s="111">
        <f t="shared" si="9"/>
        <v>0</v>
      </c>
      <c r="I70" s="111">
        <f t="shared" si="2"/>
        <v>0</v>
      </c>
      <c r="J70" s="111"/>
      <c r="K70" s="111"/>
      <c r="L70" s="111"/>
      <c r="M70" s="116">
        <f t="shared" si="10"/>
        <v>0</v>
      </c>
      <c r="N70" s="111">
        <f t="shared" si="3"/>
        <v>4.8316906031686813E-13</v>
      </c>
    </row>
    <row r="71" spans="1:20">
      <c r="A71" s="110">
        <v>51</v>
      </c>
      <c r="B71" s="105">
        <f t="shared" si="5"/>
        <v>44931</v>
      </c>
      <c r="C71" s="111">
        <f t="shared" si="11"/>
        <v>0</v>
      </c>
      <c r="D71" s="111">
        <f t="shared" si="1"/>
        <v>0</v>
      </c>
      <c r="E71" s="111">
        <f t="shared" si="7"/>
        <v>0</v>
      </c>
      <c r="F71" s="111">
        <f t="shared" si="8"/>
        <v>0</v>
      </c>
      <c r="G71" s="111">
        <f t="shared" si="12"/>
        <v>0</v>
      </c>
      <c r="H71" s="111">
        <f t="shared" si="9"/>
        <v>0</v>
      </c>
      <c r="I71" s="111">
        <f t="shared" si="2"/>
        <v>0</v>
      </c>
      <c r="J71" s="111"/>
      <c r="K71" s="111"/>
      <c r="L71" s="111"/>
      <c r="M71" s="116">
        <f t="shared" si="10"/>
        <v>0</v>
      </c>
      <c r="N71" s="111">
        <f t="shared" si="3"/>
        <v>4.8316906031686813E-13</v>
      </c>
    </row>
    <row r="72" spans="1:20">
      <c r="A72" s="110">
        <v>52</v>
      </c>
      <c r="B72" s="105">
        <f t="shared" si="5"/>
        <v>44962</v>
      </c>
      <c r="C72" s="111">
        <f t="shared" si="11"/>
        <v>0</v>
      </c>
      <c r="D72" s="111">
        <f t="shared" si="1"/>
        <v>0</v>
      </c>
      <c r="E72" s="111">
        <f t="shared" si="7"/>
        <v>0</v>
      </c>
      <c r="F72" s="111">
        <f t="shared" si="8"/>
        <v>0</v>
      </c>
      <c r="G72" s="111">
        <f t="shared" si="12"/>
        <v>0</v>
      </c>
      <c r="H72" s="111">
        <f t="shared" si="9"/>
        <v>0</v>
      </c>
      <c r="I72" s="111">
        <f t="shared" si="2"/>
        <v>0</v>
      </c>
      <c r="J72" s="111"/>
      <c r="K72" s="111"/>
      <c r="L72" s="111">
        <v>0</v>
      </c>
      <c r="M72" s="116">
        <f t="shared" si="10"/>
        <v>0</v>
      </c>
      <c r="N72" s="111">
        <f t="shared" si="3"/>
        <v>4.8316906031686813E-13</v>
      </c>
    </row>
    <row r="73" spans="1:20">
      <c r="A73" s="110">
        <v>53</v>
      </c>
      <c r="B73" s="105">
        <f t="shared" si="5"/>
        <v>44990</v>
      </c>
      <c r="C73" s="111">
        <f t="shared" si="11"/>
        <v>0</v>
      </c>
      <c r="D73" s="111">
        <f t="shared" si="1"/>
        <v>0</v>
      </c>
      <c r="E73" s="111">
        <f t="shared" si="7"/>
        <v>0</v>
      </c>
      <c r="F73" s="111">
        <f t="shared" si="8"/>
        <v>0</v>
      </c>
      <c r="G73" s="111">
        <f t="shared" si="12"/>
        <v>0</v>
      </c>
      <c r="H73" s="111">
        <f t="shared" si="9"/>
        <v>0</v>
      </c>
      <c r="I73" s="111">
        <f t="shared" si="2"/>
        <v>0</v>
      </c>
      <c r="J73" s="111"/>
      <c r="K73" s="111"/>
      <c r="L73" s="111"/>
      <c r="M73" s="116">
        <f t="shared" si="10"/>
        <v>0</v>
      </c>
      <c r="N73" s="111">
        <f t="shared" si="3"/>
        <v>4.8316906031686813E-13</v>
      </c>
    </row>
    <row r="74" spans="1:20">
      <c r="A74" s="110">
        <v>54</v>
      </c>
      <c r="B74" s="105">
        <f t="shared" si="5"/>
        <v>45021</v>
      </c>
      <c r="C74" s="111">
        <f t="shared" si="11"/>
        <v>0</v>
      </c>
      <c r="D74" s="111">
        <f t="shared" si="1"/>
        <v>0</v>
      </c>
      <c r="E74" s="111">
        <f t="shared" si="7"/>
        <v>0</v>
      </c>
      <c r="F74" s="111">
        <f t="shared" si="8"/>
        <v>0</v>
      </c>
      <c r="G74" s="111">
        <f t="shared" si="12"/>
        <v>0</v>
      </c>
      <c r="H74" s="111">
        <f t="shared" si="9"/>
        <v>0</v>
      </c>
      <c r="I74" s="111">
        <f t="shared" si="2"/>
        <v>0</v>
      </c>
      <c r="J74" s="111"/>
      <c r="K74" s="111"/>
      <c r="L74" s="111"/>
      <c r="M74" s="116">
        <f t="shared" si="10"/>
        <v>0</v>
      </c>
      <c r="N74" s="111">
        <f t="shared" si="3"/>
        <v>4.8316906031686813E-13</v>
      </c>
    </row>
    <row r="75" spans="1:20">
      <c r="A75" s="110">
        <v>55</v>
      </c>
      <c r="B75" s="105">
        <f t="shared" si="5"/>
        <v>45051</v>
      </c>
      <c r="C75" s="111">
        <f t="shared" si="11"/>
        <v>0</v>
      </c>
      <c r="D75" s="111">
        <f t="shared" si="1"/>
        <v>0</v>
      </c>
      <c r="E75" s="111">
        <f t="shared" si="7"/>
        <v>0</v>
      </c>
      <c r="F75" s="111">
        <f t="shared" si="8"/>
        <v>0</v>
      </c>
      <c r="G75" s="111">
        <f t="shared" si="12"/>
        <v>0</v>
      </c>
      <c r="H75" s="111">
        <f t="shared" si="9"/>
        <v>0</v>
      </c>
      <c r="I75" s="111">
        <f t="shared" si="2"/>
        <v>0</v>
      </c>
      <c r="J75" s="111"/>
      <c r="K75" s="111"/>
      <c r="L75" s="111"/>
      <c r="M75" s="116">
        <f t="shared" si="10"/>
        <v>0</v>
      </c>
      <c r="N75" s="111">
        <f t="shared" si="3"/>
        <v>4.8316906031686813E-13</v>
      </c>
    </row>
    <row r="76" spans="1:20">
      <c r="A76" s="110">
        <v>56</v>
      </c>
      <c r="B76" s="105">
        <f t="shared" si="5"/>
        <v>45082</v>
      </c>
      <c r="C76" s="111">
        <f t="shared" si="11"/>
        <v>0</v>
      </c>
      <c r="D76" s="111">
        <f t="shared" si="1"/>
        <v>0</v>
      </c>
      <c r="E76" s="111">
        <f t="shared" si="7"/>
        <v>0</v>
      </c>
      <c r="F76" s="111">
        <f t="shared" si="8"/>
        <v>0</v>
      </c>
      <c r="G76" s="111">
        <f t="shared" si="12"/>
        <v>0</v>
      </c>
      <c r="H76" s="111">
        <f t="shared" si="9"/>
        <v>0</v>
      </c>
      <c r="I76" s="111">
        <f t="shared" si="2"/>
        <v>0</v>
      </c>
      <c r="J76" s="111"/>
      <c r="K76" s="111"/>
      <c r="L76" s="111"/>
      <c r="M76" s="116">
        <f t="shared" si="10"/>
        <v>0</v>
      </c>
      <c r="N76" s="111">
        <f t="shared" si="3"/>
        <v>4.8316906031686813E-13</v>
      </c>
    </row>
    <row r="77" spans="1:20">
      <c r="A77" s="110">
        <v>57</v>
      </c>
      <c r="B77" s="105">
        <f t="shared" si="5"/>
        <v>45112</v>
      </c>
      <c r="C77" s="111">
        <f t="shared" si="11"/>
        <v>0</v>
      </c>
      <c r="D77" s="111">
        <f t="shared" si="1"/>
        <v>0</v>
      </c>
      <c r="E77" s="111">
        <f t="shared" si="7"/>
        <v>0</v>
      </c>
      <c r="F77" s="111">
        <f t="shared" si="8"/>
        <v>0</v>
      </c>
      <c r="G77" s="111">
        <f t="shared" si="12"/>
        <v>0</v>
      </c>
      <c r="H77" s="111">
        <f t="shared" si="9"/>
        <v>0</v>
      </c>
      <c r="I77" s="111">
        <f t="shared" si="2"/>
        <v>0</v>
      </c>
      <c r="J77" s="111"/>
      <c r="K77" s="111"/>
      <c r="L77" s="111"/>
      <c r="M77" s="116">
        <f t="shared" si="10"/>
        <v>0</v>
      </c>
      <c r="N77" s="111">
        <f t="shared" si="3"/>
        <v>4.8316906031686813E-13</v>
      </c>
    </row>
    <row r="78" spans="1:20">
      <c r="A78" s="110">
        <v>58</v>
      </c>
      <c r="B78" s="105">
        <f t="shared" si="5"/>
        <v>45143</v>
      </c>
      <c r="C78" s="111">
        <f t="shared" si="11"/>
        <v>0</v>
      </c>
      <c r="D78" s="111">
        <f t="shared" si="1"/>
        <v>0</v>
      </c>
      <c r="E78" s="111">
        <f t="shared" si="7"/>
        <v>0</v>
      </c>
      <c r="F78" s="111">
        <f t="shared" si="8"/>
        <v>0</v>
      </c>
      <c r="G78" s="111">
        <f t="shared" si="12"/>
        <v>0</v>
      </c>
      <c r="H78" s="111">
        <f t="shared" si="9"/>
        <v>0</v>
      </c>
      <c r="I78" s="111">
        <f t="shared" si="2"/>
        <v>0</v>
      </c>
      <c r="J78" s="111"/>
      <c r="K78" s="111"/>
      <c r="L78" s="111"/>
      <c r="M78" s="116">
        <f t="shared" si="10"/>
        <v>0</v>
      </c>
      <c r="N78" s="111">
        <f t="shared" si="3"/>
        <v>4.8316906031686813E-13</v>
      </c>
    </row>
    <row r="79" spans="1:20">
      <c r="A79" s="110">
        <v>59</v>
      </c>
      <c r="B79" s="105">
        <f t="shared" si="5"/>
        <v>45174</v>
      </c>
      <c r="C79" s="111">
        <f t="shared" si="11"/>
        <v>0</v>
      </c>
      <c r="D79" s="111">
        <f t="shared" si="1"/>
        <v>0</v>
      </c>
      <c r="E79" s="111">
        <f t="shared" si="7"/>
        <v>0</v>
      </c>
      <c r="F79" s="111">
        <f t="shared" si="8"/>
        <v>0</v>
      </c>
      <c r="G79" s="111">
        <f t="shared" si="12"/>
        <v>0</v>
      </c>
      <c r="H79" s="111">
        <f t="shared" si="9"/>
        <v>0</v>
      </c>
      <c r="I79" s="111">
        <f t="shared" si="2"/>
        <v>0</v>
      </c>
      <c r="J79" s="111"/>
      <c r="K79" s="111"/>
      <c r="L79" s="111"/>
      <c r="M79" s="116">
        <f t="shared" si="10"/>
        <v>0</v>
      </c>
      <c r="N79" s="111">
        <f t="shared" si="3"/>
        <v>4.8316906031686813E-13</v>
      </c>
    </row>
    <row r="80" spans="1:20">
      <c r="A80" s="110">
        <v>60</v>
      </c>
      <c r="B80" s="105">
        <f t="shared" si="5"/>
        <v>45204</v>
      </c>
      <c r="C80" s="111">
        <f t="shared" si="11"/>
        <v>0</v>
      </c>
      <c r="D80" s="111">
        <f t="shared" si="1"/>
        <v>0</v>
      </c>
      <c r="E80" s="111">
        <f t="shared" si="7"/>
        <v>0</v>
      </c>
      <c r="F80" s="111">
        <f t="shared" si="8"/>
        <v>0</v>
      </c>
      <c r="G80" s="111">
        <f t="shared" si="12"/>
        <v>0</v>
      </c>
      <c r="H80" s="111">
        <f t="shared" si="9"/>
        <v>0</v>
      </c>
      <c r="I80" s="111">
        <f t="shared" si="2"/>
        <v>0</v>
      </c>
      <c r="J80" s="111"/>
      <c r="K80" s="111"/>
      <c r="L80" s="111"/>
      <c r="M80" s="116">
        <f t="shared" si="10"/>
        <v>0</v>
      </c>
      <c r="N80" s="111">
        <f t="shared" si="3"/>
        <v>4.8316906031686813E-13</v>
      </c>
    </row>
    <row r="81" spans="1:14">
      <c r="A81" s="110">
        <v>61</v>
      </c>
      <c r="B81" s="105">
        <f t="shared" si="5"/>
        <v>45235</v>
      </c>
      <c r="C81" s="111">
        <f t="shared" si="11"/>
        <v>0</v>
      </c>
      <c r="D81" s="111">
        <f t="shared" si="1"/>
        <v>0</v>
      </c>
      <c r="E81" s="111">
        <f t="shared" si="7"/>
        <v>0</v>
      </c>
      <c r="F81" s="111">
        <f t="shared" si="8"/>
        <v>0</v>
      </c>
      <c r="G81" s="111">
        <f t="shared" si="12"/>
        <v>0</v>
      </c>
      <c r="H81" s="111">
        <f t="shared" si="9"/>
        <v>0</v>
      </c>
      <c r="I81" s="111">
        <f t="shared" si="2"/>
        <v>0</v>
      </c>
      <c r="J81" s="111"/>
      <c r="K81" s="111"/>
      <c r="L81" s="111"/>
      <c r="M81" s="116">
        <f t="shared" si="10"/>
        <v>0</v>
      </c>
      <c r="N81" s="111">
        <f t="shared" si="3"/>
        <v>4.8316906031686813E-13</v>
      </c>
    </row>
    <row r="82" spans="1:14">
      <c r="A82" s="110">
        <v>62</v>
      </c>
      <c r="B82" s="105">
        <f t="shared" si="5"/>
        <v>45265</v>
      </c>
      <c r="C82" s="111">
        <f t="shared" si="11"/>
        <v>0</v>
      </c>
      <c r="D82" s="111">
        <f t="shared" si="1"/>
        <v>0</v>
      </c>
      <c r="E82" s="111">
        <f t="shared" si="7"/>
        <v>0</v>
      </c>
      <c r="F82" s="111">
        <f t="shared" si="8"/>
        <v>0</v>
      </c>
      <c r="G82" s="111">
        <f t="shared" si="12"/>
        <v>0</v>
      </c>
      <c r="H82" s="111">
        <f t="shared" si="9"/>
        <v>0</v>
      </c>
      <c r="I82" s="111">
        <f t="shared" si="2"/>
        <v>0</v>
      </c>
      <c r="J82" s="111"/>
      <c r="K82" s="111"/>
      <c r="L82" s="111"/>
      <c r="M82" s="116">
        <f t="shared" si="10"/>
        <v>0</v>
      </c>
      <c r="N82" s="111">
        <f t="shared" si="3"/>
        <v>4.8316906031686813E-13</v>
      </c>
    </row>
    <row r="83" spans="1:14">
      <c r="A83" s="110">
        <v>63</v>
      </c>
      <c r="B83" s="105">
        <f t="shared" si="5"/>
        <v>45296</v>
      </c>
      <c r="C83" s="111">
        <f t="shared" si="11"/>
        <v>0</v>
      </c>
      <c r="D83" s="111">
        <f t="shared" si="1"/>
        <v>0</v>
      </c>
      <c r="E83" s="111">
        <f t="shared" si="7"/>
        <v>0</v>
      </c>
      <c r="F83" s="111">
        <f t="shared" si="8"/>
        <v>0</v>
      </c>
      <c r="G83" s="111">
        <f t="shared" si="12"/>
        <v>0</v>
      </c>
      <c r="H83" s="111">
        <f t="shared" si="9"/>
        <v>0</v>
      </c>
      <c r="I83" s="111">
        <f t="shared" si="2"/>
        <v>0</v>
      </c>
      <c r="J83" s="111"/>
      <c r="K83" s="111"/>
      <c r="L83" s="111"/>
      <c r="M83" s="116">
        <f t="shared" si="10"/>
        <v>0</v>
      </c>
      <c r="N83" s="111">
        <f t="shared" si="3"/>
        <v>4.8316906031686813E-13</v>
      </c>
    </row>
    <row r="84" spans="1:14">
      <c r="A84" s="110">
        <v>64</v>
      </c>
      <c r="B84" s="105">
        <f t="shared" si="5"/>
        <v>45327</v>
      </c>
      <c r="C84" s="111">
        <f t="shared" si="11"/>
        <v>0</v>
      </c>
      <c r="D84" s="111">
        <f t="shared" si="1"/>
        <v>0</v>
      </c>
      <c r="E84" s="111">
        <f t="shared" si="7"/>
        <v>0</v>
      </c>
      <c r="F84" s="111">
        <f t="shared" si="8"/>
        <v>0</v>
      </c>
      <c r="G84" s="111">
        <f t="shared" si="12"/>
        <v>0</v>
      </c>
      <c r="H84" s="111">
        <f t="shared" si="9"/>
        <v>0</v>
      </c>
      <c r="I84" s="111">
        <f t="shared" si="2"/>
        <v>0</v>
      </c>
      <c r="J84" s="111"/>
      <c r="K84" s="111"/>
      <c r="L84" s="111"/>
      <c r="M84" s="116">
        <f t="shared" si="10"/>
        <v>0</v>
      </c>
      <c r="N84" s="111">
        <f t="shared" si="3"/>
        <v>4.8316906031686813E-13</v>
      </c>
    </row>
    <row r="85" spans="1:14">
      <c r="A85" s="110">
        <v>65</v>
      </c>
      <c r="B85" s="105">
        <f t="shared" si="5"/>
        <v>45356</v>
      </c>
      <c r="C85" s="111">
        <f t="shared" si="11"/>
        <v>0</v>
      </c>
      <c r="D85" s="111">
        <f t="shared" ref="D85:D104" si="13">IF(A85&lt;=$F$7,IF($F$12=$I$9,$F$5*$F$13,N84*$F$14/12),0)+-IF(AND(A85&lt;=$M$9,$M$9&lt;&gt;0),$J$20/$M$9,0)+-IF(AND(A85&lt;=$M$10,$M$10&lt;&gt;0),$K$20/$M$10,0)</f>
        <v>0</v>
      </c>
      <c r="E85" s="111">
        <f t="shared" si="7"/>
        <v>0</v>
      </c>
      <c r="F85" s="111">
        <f t="shared" si="8"/>
        <v>0</v>
      </c>
      <c r="G85" s="111">
        <f t="shared" si="12"/>
        <v>0</v>
      </c>
      <c r="H85" s="111">
        <f t="shared" si="9"/>
        <v>0</v>
      </c>
      <c r="I85" s="111">
        <f t="shared" ref="I85:I104" si="14">C85*20/120</f>
        <v>0</v>
      </c>
      <c r="J85" s="111"/>
      <c r="K85" s="111"/>
      <c r="L85" s="111"/>
      <c r="M85" s="116">
        <f t="shared" ref="M85:M104" si="15">SUM(C85,D85,G85,J85,K85,L85)</f>
        <v>0</v>
      </c>
      <c r="N85" s="111">
        <f t="shared" ref="N85:N104" si="16">N84-C85</f>
        <v>4.8316906031686813E-13</v>
      </c>
    </row>
    <row r="86" spans="1:14">
      <c r="A86" s="110">
        <v>66</v>
      </c>
      <c r="B86" s="105">
        <f t="shared" ref="B86:B104" si="17">EOMONTH(B85,0)+DAY(B85)</f>
        <v>45387</v>
      </c>
      <c r="C86" s="111">
        <f t="shared" si="11"/>
        <v>0</v>
      </c>
      <c r="D86" s="111">
        <f t="shared" si="13"/>
        <v>0</v>
      </c>
      <c r="E86" s="111">
        <f>IF($R$17="ЮЛ",D86*0.2,0)</f>
        <v>0</v>
      </c>
      <c r="F86" s="111">
        <f t="shared" ref="F86:F94" si="18">IF(AND(A86&lt;=$F$7,$S$17="ДА"),($F$5*VLOOKUP(ROUNDUP(A86/12,0),$O$7:$Q$14,3,0)/12),0)</f>
        <v>0</v>
      </c>
      <c r="G86" s="111">
        <f t="shared" si="12"/>
        <v>0</v>
      </c>
      <c r="H86" s="111">
        <f t="shared" ref="H86:H104" si="19">SUM(C86:G86)+SUM(C86:G86)*$F$15</f>
        <v>0</v>
      </c>
      <c r="I86" s="111">
        <f t="shared" si="14"/>
        <v>0</v>
      </c>
      <c r="J86" s="111"/>
      <c r="K86" s="111"/>
      <c r="L86" s="111"/>
      <c r="M86" s="116">
        <f t="shared" si="15"/>
        <v>0</v>
      </c>
      <c r="N86" s="111">
        <f t="shared" si="16"/>
        <v>4.8316906031686813E-13</v>
      </c>
    </row>
    <row r="87" spans="1:14">
      <c r="A87" s="110">
        <v>67</v>
      </c>
      <c r="B87" s="105">
        <f t="shared" si="17"/>
        <v>45417</v>
      </c>
      <c r="C87" s="111">
        <f t="shared" si="11"/>
        <v>0</v>
      </c>
      <c r="D87" s="111">
        <f t="shared" si="13"/>
        <v>0</v>
      </c>
      <c r="E87" s="111">
        <f>IF($R$17="ЮЛ",D87*0.2,0)</f>
        <v>0</v>
      </c>
      <c r="F87" s="111">
        <f t="shared" si="18"/>
        <v>0</v>
      </c>
      <c r="G87" s="111">
        <f t="shared" si="12"/>
        <v>0</v>
      </c>
      <c r="H87" s="111">
        <f t="shared" si="19"/>
        <v>0</v>
      </c>
      <c r="I87" s="111">
        <f t="shared" si="14"/>
        <v>0</v>
      </c>
      <c r="J87" s="111"/>
      <c r="K87" s="111"/>
      <c r="L87" s="111"/>
      <c r="M87" s="116">
        <f t="shared" si="15"/>
        <v>0</v>
      </c>
      <c r="N87" s="111">
        <f t="shared" si="16"/>
        <v>4.8316906031686813E-13</v>
      </c>
    </row>
    <row r="88" spans="1:14">
      <c r="A88" s="110">
        <v>68</v>
      </c>
      <c r="B88" s="105">
        <f t="shared" si="17"/>
        <v>45448</v>
      </c>
      <c r="C88" s="111">
        <f t="shared" si="11"/>
        <v>0</v>
      </c>
      <c r="D88" s="111">
        <f t="shared" si="13"/>
        <v>0</v>
      </c>
      <c r="E88" s="111">
        <f>IF($R$17="ЮЛ",D88*0.2,0)</f>
        <v>0</v>
      </c>
      <c r="F88" s="111">
        <f t="shared" si="18"/>
        <v>0</v>
      </c>
      <c r="G88" s="111">
        <f t="shared" si="12"/>
        <v>0</v>
      </c>
      <c r="H88" s="111">
        <f t="shared" si="19"/>
        <v>0</v>
      </c>
      <c r="I88" s="111">
        <f t="shared" si="14"/>
        <v>0</v>
      </c>
      <c r="J88" s="111"/>
      <c r="K88" s="111"/>
      <c r="L88" s="111"/>
      <c r="M88" s="116">
        <f t="shared" si="15"/>
        <v>0</v>
      </c>
      <c r="N88" s="111">
        <f t="shared" si="16"/>
        <v>4.8316906031686813E-13</v>
      </c>
    </row>
    <row r="89" spans="1:14">
      <c r="A89" s="110">
        <v>69</v>
      </c>
      <c r="B89" s="105">
        <f t="shared" si="17"/>
        <v>45478</v>
      </c>
      <c r="C89" s="111">
        <f t="shared" si="11"/>
        <v>0</v>
      </c>
      <c r="D89" s="111">
        <f t="shared" si="13"/>
        <v>0</v>
      </c>
      <c r="E89" s="111">
        <f>IF($R$17="ЮЛ",D89*0.2,0)</f>
        <v>0</v>
      </c>
      <c r="F89" s="111">
        <f t="shared" si="18"/>
        <v>0</v>
      </c>
      <c r="G89" s="111">
        <f t="shared" si="12"/>
        <v>0</v>
      </c>
      <c r="H89" s="111">
        <f t="shared" si="19"/>
        <v>0</v>
      </c>
      <c r="I89" s="111">
        <f t="shared" si="14"/>
        <v>0</v>
      </c>
      <c r="J89" s="111"/>
      <c r="K89" s="111"/>
      <c r="L89" s="111"/>
      <c r="M89" s="116">
        <f t="shared" si="15"/>
        <v>0</v>
      </c>
      <c r="N89" s="111">
        <f t="shared" si="16"/>
        <v>4.8316906031686813E-13</v>
      </c>
    </row>
    <row r="90" spans="1:14">
      <c r="A90" s="110">
        <v>70</v>
      </c>
      <c r="B90" s="105">
        <f t="shared" si="17"/>
        <v>45509</v>
      </c>
      <c r="C90" s="111">
        <f t="shared" si="11"/>
        <v>0</v>
      </c>
      <c r="D90" s="111">
        <f t="shared" si="13"/>
        <v>0</v>
      </c>
      <c r="E90" s="111">
        <f>IF($R$17="ЮЛ",D90*0.2,0)</f>
        <v>0</v>
      </c>
      <c r="F90" s="111">
        <f t="shared" si="18"/>
        <v>0</v>
      </c>
      <c r="G90" s="111">
        <f t="shared" si="12"/>
        <v>0</v>
      </c>
      <c r="H90" s="111">
        <f t="shared" si="19"/>
        <v>0</v>
      </c>
      <c r="I90" s="111">
        <f t="shared" si="14"/>
        <v>0</v>
      </c>
      <c r="J90" s="111"/>
      <c r="K90" s="111"/>
      <c r="L90" s="111"/>
      <c r="M90" s="116">
        <f t="shared" si="15"/>
        <v>0</v>
      </c>
      <c r="N90" s="111">
        <f t="shared" si="16"/>
        <v>4.8316906031686813E-13</v>
      </c>
    </row>
    <row r="91" spans="1:14">
      <c r="A91" s="110">
        <v>71</v>
      </c>
      <c r="B91" s="105">
        <f t="shared" si="17"/>
        <v>45540</v>
      </c>
      <c r="C91" s="111">
        <f t="shared" si="11"/>
        <v>0</v>
      </c>
      <c r="D91" s="111">
        <f t="shared" si="13"/>
        <v>0</v>
      </c>
      <c r="E91" s="111">
        <f t="shared" ref="E91:E104" si="20">D91*0.2</f>
        <v>0</v>
      </c>
      <c r="F91" s="111">
        <f t="shared" si="18"/>
        <v>0</v>
      </c>
      <c r="G91" s="111">
        <f t="shared" si="12"/>
        <v>0</v>
      </c>
      <c r="H91" s="111">
        <f t="shared" si="19"/>
        <v>0</v>
      </c>
      <c r="I91" s="111">
        <f t="shared" si="14"/>
        <v>0</v>
      </c>
      <c r="J91" s="111"/>
      <c r="K91" s="111"/>
      <c r="L91" s="111"/>
      <c r="M91" s="116">
        <f t="shared" si="15"/>
        <v>0</v>
      </c>
      <c r="N91" s="111">
        <f t="shared" si="16"/>
        <v>4.8316906031686813E-13</v>
      </c>
    </row>
    <row r="92" spans="1:14">
      <c r="A92" s="110">
        <v>72</v>
      </c>
      <c r="B92" s="105">
        <f t="shared" si="17"/>
        <v>45570</v>
      </c>
      <c r="C92" s="111">
        <f t="shared" si="11"/>
        <v>0</v>
      </c>
      <c r="D92" s="111">
        <f t="shared" si="13"/>
        <v>0</v>
      </c>
      <c r="E92" s="111">
        <f t="shared" si="20"/>
        <v>0</v>
      </c>
      <c r="F92" s="111">
        <f t="shared" si="18"/>
        <v>0</v>
      </c>
      <c r="G92" s="111">
        <f t="shared" si="12"/>
        <v>0</v>
      </c>
      <c r="H92" s="111">
        <f t="shared" si="19"/>
        <v>0</v>
      </c>
      <c r="I92" s="111">
        <f t="shared" si="14"/>
        <v>0</v>
      </c>
      <c r="J92" s="111"/>
      <c r="K92" s="111"/>
      <c r="L92" s="111"/>
      <c r="M92" s="116">
        <f t="shared" si="15"/>
        <v>0</v>
      </c>
      <c r="N92" s="111">
        <f t="shared" si="16"/>
        <v>4.8316906031686813E-13</v>
      </c>
    </row>
    <row r="93" spans="1:14">
      <c r="A93" s="110">
        <v>73</v>
      </c>
      <c r="B93" s="105">
        <f t="shared" si="17"/>
        <v>45601</v>
      </c>
      <c r="C93" s="111">
        <f t="shared" si="11"/>
        <v>0</v>
      </c>
      <c r="D93" s="111">
        <f t="shared" si="13"/>
        <v>0</v>
      </c>
      <c r="E93" s="111">
        <f t="shared" si="20"/>
        <v>0</v>
      </c>
      <c r="F93" s="111">
        <f t="shared" si="18"/>
        <v>0</v>
      </c>
      <c r="G93" s="111">
        <f t="shared" si="12"/>
        <v>0</v>
      </c>
      <c r="H93" s="111">
        <f t="shared" si="19"/>
        <v>0</v>
      </c>
      <c r="I93" s="111">
        <f t="shared" si="14"/>
        <v>0</v>
      </c>
      <c r="J93" s="111"/>
      <c r="K93" s="111"/>
      <c r="L93" s="111"/>
      <c r="M93" s="116">
        <f t="shared" si="15"/>
        <v>0</v>
      </c>
      <c r="N93" s="111">
        <f t="shared" si="16"/>
        <v>4.8316906031686813E-13</v>
      </c>
    </row>
    <row r="94" spans="1:14">
      <c r="A94" s="110">
        <v>74</v>
      </c>
      <c r="B94" s="105">
        <f t="shared" si="17"/>
        <v>45631</v>
      </c>
      <c r="C94" s="111">
        <f t="shared" si="11"/>
        <v>0</v>
      </c>
      <c r="D94" s="111">
        <f t="shared" si="13"/>
        <v>0</v>
      </c>
      <c r="E94" s="111">
        <f t="shared" si="20"/>
        <v>0</v>
      </c>
      <c r="F94" s="111">
        <f t="shared" si="18"/>
        <v>0</v>
      </c>
      <c r="G94" s="111">
        <f t="shared" si="12"/>
        <v>0</v>
      </c>
      <c r="H94" s="111">
        <f t="shared" si="19"/>
        <v>0</v>
      </c>
      <c r="I94" s="111">
        <f t="shared" si="14"/>
        <v>0</v>
      </c>
      <c r="J94" s="111"/>
      <c r="K94" s="111"/>
      <c r="L94" s="111"/>
      <c r="M94" s="116">
        <f t="shared" si="15"/>
        <v>0</v>
      </c>
      <c r="N94" s="111">
        <f t="shared" si="16"/>
        <v>4.8316906031686813E-13</v>
      </c>
    </row>
    <row r="95" spans="1:14">
      <c r="A95" s="110">
        <v>75</v>
      </c>
      <c r="B95" s="105">
        <f t="shared" si="17"/>
        <v>45662</v>
      </c>
      <c r="C95" s="111">
        <f t="shared" si="11"/>
        <v>0</v>
      </c>
      <c r="D95" s="111">
        <f t="shared" si="13"/>
        <v>0</v>
      </c>
      <c r="E95" s="111">
        <f t="shared" si="20"/>
        <v>0</v>
      </c>
      <c r="F95" s="111">
        <f t="shared" ref="F95:F104" si="21">IF(A95&lt;=$F$7,$F$5*VLOOKUP(ROUNDUP(A95/12,0),$O$7:$Q$14,3,0)/12,0)</f>
        <v>0</v>
      </c>
      <c r="G95" s="111">
        <f t="shared" si="12"/>
        <v>0</v>
      </c>
      <c r="H95" s="111">
        <f t="shared" si="19"/>
        <v>0</v>
      </c>
      <c r="I95" s="111">
        <f t="shared" si="14"/>
        <v>0</v>
      </c>
      <c r="J95" s="111"/>
      <c r="K95" s="111"/>
      <c r="L95" s="111"/>
      <c r="M95" s="116">
        <f t="shared" si="15"/>
        <v>0</v>
      </c>
      <c r="N95" s="111">
        <f t="shared" si="16"/>
        <v>4.8316906031686813E-13</v>
      </c>
    </row>
    <row r="96" spans="1:14">
      <c r="A96" s="110">
        <v>76</v>
      </c>
      <c r="B96" s="105">
        <f t="shared" si="17"/>
        <v>45693</v>
      </c>
      <c r="C96" s="111">
        <f t="shared" si="11"/>
        <v>0</v>
      </c>
      <c r="D96" s="111">
        <f t="shared" si="13"/>
        <v>0</v>
      </c>
      <c r="E96" s="111">
        <f t="shared" si="20"/>
        <v>0</v>
      </c>
      <c r="F96" s="111">
        <f t="shared" si="21"/>
        <v>0</v>
      </c>
      <c r="G96" s="111">
        <f t="shared" si="12"/>
        <v>0</v>
      </c>
      <c r="H96" s="111">
        <f t="shared" si="19"/>
        <v>0</v>
      </c>
      <c r="I96" s="111">
        <f t="shared" si="14"/>
        <v>0</v>
      </c>
      <c r="J96" s="111"/>
      <c r="K96" s="111"/>
      <c r="L96" s="111"/>
      <c r="M96" s="116">
        <f t="shared" si="15"/>
        <v>0</v>
      </c>
      <c r="N96" s="111">
        <f t="shared" si="16"/>
        <v>4.8316906031686813E-13</v>
      </c>
    </row>
    <row r="97" spans="1:14">
      <c r="A97" s="110">
        <v>77</v>
      </c>
      <c r="B97" s="105">
        <f t="shared" si="17"/>
        <v>45721</v>
      </c>
      <c r="C97" s="111">
        <f t="shared" si="11"/>
        <v>0</v>
      </c>
      <c r="D97" s="111">
        <f t="shared" si="13"/>
        <v>0</v>
      </c>
      <c r="E97" s="111">
        <f t="shared" si="20"/>
        <v>0</v>
      </c>
      <c r="F97" s="111">
        <f t="shared" si="21"/>
        <v>0</v>
      </c>
      <c r="G97" s="111">
        <f t="shared" si="12"/>
        <v>0</v>
      </c>
      <c r="H97" s="111">
        <f t="shared" si="19"/>
        <v>0</v>
      </c>
      <c r="I97" s="111">
        <f t="shared" si="14"/>
        <v>0</v>
      </c>
      <c r="J97" s="111"/>
      <c r="K97" s="111"/>
      <c r="L97" s="111"/>
      <c r="M97" s="116">
        <f t="shared" si="15"/>
        <v>0</v>
      </c>
      <c r="N97" s="111">
        <f t="shared" si="16"/>
        <v>4.8316906031686813E-13</v>
      </c>
    </row>
    <row r="98" spans="1:14">
      <c r="A98" s="110">
        <v>78</v>
      </c>
      <c r="B98" s="105">
        <f t="shared" si="17"/>
        <v>45752</v>
      </c>
      <c r="C98" s="111">
        <f t="shared" si="11"/>
        <v>0</v>
      </c>
      <c r="D98" s="111">
        <f t="shared" si="13"/>
        <v>0</v>
      </c>
      <c r="E98" s="111">
        <f t="shared" si="20"/>
        <v>0</v>
      </c>
      <c r="F98" s="111">
        <f t="shared" si="21"/>
        <v>0</v>
      </c>
      <c r="G98" s="111">
        <f t="shared" si="12"/>
        <v>0</v>
      </c>
      <c r="H98" s="111">
        <f t="shared" si="19"/>
        <v>0</v>
      </c>
      <c r="I98" s="111">
        <f t="shared" si="14"/>
        <v>0</v>
      </c>
      <c r="J98" s="111"/>
      <c r="K98" s="111"/>
      <c r="L98" s="111"/>
      <c r="M98" s="116">
        <f t="shared" si="15"/>
        <v>0</v>
      </c>
      <c r="N98" s="111">
        <f t="shared" si="16"/>
        <v>4.8316906031686813E-13</v>
      </c>
    </row>
    <row r="99" spans="1:14">
      <c r="A99" s="110">
        <v>79</v>
      </c>
      <c r="B99" s="105">
        <f t="shared" si="17"/>
        <v>45782</v>
      </c>
      <c r="C99" s="111">
        <f t="shared" si="11"/>
        <v>0</v>
      </c>
      <c r="D99" s="111">
        <f t="shared" si="13"/>
        <v>0</v>
      </c>
      <c r="E99" s="111">
        <f t="shared" si="20"/>
        <v>0</v>
      </c>
      <c r="F99" s="111">
        <f t="shared" si="21"/>
        <v>0</v>
      </c>
      <c r="G99" s="111">
        <f t="shared" si="12"/>
        <v>0</v>
      </c>
      <c r="H99" s="111">
        <f t="shared" si="19"/>
        <v>0</v>
      </c>
      <c r="I99" s="111">
        <f t="shared" si="14"/>
        <v>0</v>
      </c>
      <c r="J99" s="111"/>
      <c r="K99" s="111"/>
      <c r="L99" s="111"/>
      <c r="M99" s="116">
        <f t="shared" si="15"/>
        <v>0</v>
      </c>
      <c r="N99" s="111">
        <f t="shared" si="16"/>
        <v>4.8316906031686813E-13</v>
      </c>
    </row>
    <row r="100" spans="1:14">
      <c r="A100" s="110">
        <v>80</v>
      </c>
      <c r="B100" s="105">
        <f t="shared" si="17"/>
        <v>45813</v>
      </c>
      <c r="C100" s="111">
        <f t="shared" si="11"/>
        <v>0</v>
      </c>
      <c r="D100" s="111">
        <f t="shared" si="13"/>
        <v>0</v>
      </c>
      <c r="E100" s="111">
        <f t="shared" si="20"/>
        <v>0</v>
      </c>
      <c r="F100" s="111">
        <f t="shared" si="21"/>
        <v>0</v>
      </c>
      <c r="G100" s="111">
        <f t="shared" si="12"/>
        <v>0</v>
      </c>
      <c r="H100" s="111">
        <f t="shared" si="19"/>
        <v>0</v>
      </c>
      <c r="I100" s="111">
        <f t="shared" si="14"/>
        <v>0</v>
      </c>
      <c r="J100" s="111"/>
      <c r="K100" s="111"/>
      <c r="L100" s="111"/>
      <c r="M100" s="116">
        <f t="shared" si="15"/>
        <v>0</v>
      </c>
      <c r="N100" s="111">
        <f t="shared" si="16"/>
        <v>4.8316906031686813E-13</v>
      </c>
    </row>
    <row r="101" spans="1:14">
      <c r="A101" s="110">
        <v>81</v>
      </c>
      <c r="B101" s="105">
        <f t="shared" si="17"/>
        <v>45843</v>
      </c>
      <c r="C101" s="111">
        <f t="shared" si="11"/>
        <v>0</v>
      </c>
      <c r="D101" s="111">
        <f t="shared" si="13"/>
        <v>0</v>
      </c>
      <c r="E101" s="111">
        <f t="shared" si="20"/>
        <v>0</v>
      </c>
      <c r="F101" s="111">
        <f t="shared" si="21"/>
        <v>0</v>
      </c>
      <c r="G101" s="111">
        <f t="shared" si="12"/>
        <v>0</v>
      </c>
      <c r="H101" s="111">
        <f t="shared" si="19"/>
        <v>0</v>
      </c>
      <c r="I101" s="111">
        <f t="shared" si="14"/>
        <v>0</v>
      </c>
      <c r="J101" s="111"/>
      <c r="K101" s="111"/>
      <c r="L101" s="111"/>
      <c r="M101" s="116">
        <f t="shared" si="15"/>
        <v>0</v>
      </c>
      <c r="N101" s="111">
        <f t="shared" si="16"/>
        <v>4.8316906031686813E-13</v>
      </c>
    </row>
    <row r="102" spans="1:14">
      <c r="A102" s="110">
        <v>82</v>
      </c>
      <c r="B102" s="105">
        <f t="shared" si="17"/>
        <v>45874</v>
      </c>
      <c r="C102" s="111">
        <f t="shared" si="11"/>
        <v>0</v>
      </c>
      <c r="D102" s="111">
        <f t="shared" si="13"/>
        <v>0</v>
      </c>
      <c r="E102" s="111">
        <f t="shared" si="20"/>
        <v>0</v>
      </c>
      <c r="F102" s="111">
        <f t="shared" si="21"/>
        <v>0</v>
      </c>
      <c r="G102" s="111">
        <f t="shared" si="12"/>
        <v>0</v>
      </c>
      <c r="H102" s="111">
        <f t="shared" si="19"/>
        <v>0</v>
      </c>
      <c r="I102" s="111">
        <f t="shared" si="14"/>
        <v>0</v>
      </c>
      <c r="J102" s="111"/>
      <c r="K102" s="111"/>
      <c r="L102" s="111"/>
      <c r="M102" s="116">
        <f t="shared" si="15"/>
        <v>0</v>
      </c>
      <c r="N102" s="111">
        <f t="shared" si="16"/>
        <v>4.8316906031686813E-13</v>
      </c>
    </row>
    <row r="103" spans="1:14">
      <c r="A103" s="110">
        <v>83</v>
      </c>
      <c r="B103" s="105">
        <f t="shared" si="17"/>
        <v>45905</v>
      </c>
      <c r="C103" s="111">
        <f t="shared" si="11"/>
        <v>0</v>
      </c>
      <c r="D103" s="111">
        <f t="shared" si="13"/>
        <v>0</v>
      </c>
      <c r="E103" s="111">
        <f t="shared" si="20"/>
        <v>0</v>
      </c>
      <c r="F103" s="111">
        <f t="shared" si="21"/>
        <v>0</v>
      </c>
      <c r="G103" s="111">
        <f t="shared" si="12"/>
        <v>0</v>
      </c>
      <c r="H103" s="111">
        <f t="shared" si="19"/>
        <v>0</v>
      </c>
      <c r="I103" s="111">
        <f t="shared" si="14"/>
        <v>0</v>
      </c>
      <c r="J103" s="111"/>
      <c r="K103" s="111"/>
      <c r="L103" s="111"/>
      <c r="M103" s="116">
        <f t="shared" si="15"/>
        <v>0</v>
      </c>
      <c r="N103" s="111">
        <f t="shared" si="16"/>
        <v>4.8316906031686813E-13</v>
      </c>
    </row>
    <row r="104" spans="1:14">
      <c r="A104" s="110">
        <v>84</v>
      </c>
      <c r="B104" s="105">
        <f t="shared" si="17"/>
        <v>45935</v>
      </c>
      <c r="C104" s="111">
        <f t="shared" si="11"/>
        <v>0</v>
      </c>
      <c r="D104" s="111">
        <f t="shared" si="13"/>
        <v>0</v>
      </c>
      <c r="E104" s="111">
        <f t="shared" si="20"/>
        <v>0</v>
      </c>
      <c r="F104" s="111">
        <f t="shared" si="21"/>
        <v>0</v>
      </c>
      <c r="G104" s="111">
        <f t="shared" si="12"/>
        <v>0</v>
      </c>
      <c r="H104" s="111">
        <f t="shared" si="19"/>
        <v>0</v>
      </c>
      <c r="I104" s="111">
        <f t="shared" si="14"/>
        <v>0</v>
      </c>
      <c r="J104" s="111"/>
      <c r="K104" s="111"/>
      <c r="L104" s="111"/>
      <c r="M104" s="116">
        <f t="shared" si="15"/>
        <v>0</v>
      </c>
      <c r="N104" s="111">
        <f t="shared" si="16"/>
        <v>4.8316906031686813E-13</v>
      </c>
    </row>
    <row r="106" spans="1:14">
      <c r="B106" s="117"/>
    </row>
    <row r="107" spans="1:14">
      <c r="B107" s="111"/>
    </row>
  </sheetData>
  <conditionalFormatting sqref="B18">
    <cfRule type="cellIs" dxfId="82" priority="5" operator="equal">
      <formula>0</formula>
    </cfRule>
    <cfRule type="cellIs" dxfId="81" priority="3" operator="lessThan">
      <formula>0</formula>
    </cfRule>
    <cfRule type="cellIs" dxfId="80" priority="4" operator="greaterThan">
      <formula>0</formula>
    </cfRule>
  </conditionalFormatting>
  <conditionalFormatting sqref="I18">
    <cfRule type="cellIs" dxfId="79" priority="6" operator="lessThan">
      <formula>0</formula>
    </cfRule>
    <cfRule type="cellIs" dxfId="78" priority="8" operator="equal">
      <formula>0</formula>
    </cfRule>
    <cfRule type="cellIs" dxfId="77" priority="7" operator="greaterThan">
      <formula>0</formula>
    </cfRule>
  </conditionalFormatting>
  <conditionalFormatting sqref="C18">
    <cfRule type="cellIs" dxfId="76" priority="10" operator="greaterThan">
      <formula>0</formula>
    </cfRule>
    <cfRule type="cellIs" dxfId="75" priority="11" operator="equal">
      <formula>0</formula>
    </cfRule>
    <cfRule type="cellIs" dxfId="74" priority="9" operator="lessThan">
      <formula>0</formula>
    </cfRule>
  </conditionalFormatting>
  <conditionalFormatting sqref="F16">
    <cfRule type="cellIs" dxfId="73" priority="1" operator="lessThan">
      <formula>0.1</formula>
    </cfRule>
    <cfRule type="cellIs" dxfId="72" priority="2" operator="greaterThan">
      <formula>0.18</formula>
    </cfRule>
  </conditionalFormatting>
  <dataValidations count="2">
    <dataValidation type="list" allowBlank="1" showInputMessage="1" showErrorMessage="1" sqref="F12" xr:uid="{00000000-0002-0000-0500-000000000000}">
      <formula1>$I$9:$I$10</formula1>
    </dataValidation>
    <dataValidation type="list" allowBlank="1" showInputMessage="1" showErrorMessage="1" sqref="F9" xr:uid="{00000000-0002-0000-0500-000001000000}">
      <formula1>$I$6:$I$7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7"/>
  <sheetViews>
    <sheetView zoomScale="115" workbookViewId="0">
      <selection activeCell="F15" sqref="F15"/>
    </sheetView>
  </sheetViews>
  <sheetFormatPr defaultColWidth="9.140625" defaultRowHeight="15"/>
  <cols>
    <col min="1" max="2" width="9.140625" style="71"/>
    <col min="3" max="3" width="10.5703125" style="71" bestFit="1" customWidth="1"/>
    <col min="4" max="5" width="9.28515625" style="71" bestFit="1" customWidth="1"/>
    <col min="6" max="6" width="8.7109375" style="71" customWidth="1"/>
    <col min="7" max="7" width="9.28515625" style="71" bestFit="1" customWidth="1"/>
    <col min="8" max="8" width="10.5703125" style="71" bestFit="1" customWidth="1"/>
    <col min="9" max="12" width="9.28515625" style="71" bestFit="1" customWidth="1"/>
    <col min="13" max="13" width="10.5703125" style="71" bestFit="1" customWidth="1"/>
    <col min="14" max="14" width="10" style="71" bestFit="1" customWidth="1"/>
    <col min="15" max="16384" width="9.140625" style="71"/>
  </cols>
  <sheetData>
    <row r="1" spans="1:18" ht="18.75">
      <c r="A1" s="72" t="s">
        <v>65</v>
      </c>
      <c r="F1" s="74"/>
    </row>
    <row r="2" spans="1:18" ht="18.75">
      <c r="A2" s="72" t="s">
        <v>66</v>
      </c>
      <c r="F2" s="75" t="s">
        <v>67</v>
      </c>
    </row>
    <row r="5" spans="1:18">
      <c r="A5" s="73" t="s">
        <v>68</v>
      </c>
      <c r="F5" s="119">
        <f>'Калькулятор 12-48 мес'!K11</f>
        <v>1000</v>
      </c>
      <c r="H5" s="73"/>
      <c r="I5" s="73"/>
      <c r="J5" s="73"/>
      <c r="K5" s="73" t="s">
        <v>69</v>
      </c>
    </row>
    <row r="6" spans="1:18">
      <c r="A6" s="73" t="s">
        <v>70</v>
      </c>
      <c r="F6" s="120">
        <f>'Калькулятор 12-48 мес'!K14</f>
        <v>0</v>
      </c>
      <c r="G6" s="119">
        <f>F5*F6</f>
        <v>0</v>
      </c>
      <c r="I6" s="71" t="s">
        <v>71</v>
      </c>
      <c r="K6" s="93">
        <v>44927</v>
      </c>
      <c r="O6" s="73" t="s">
        <v>72</v>
      </c>
      <c r="P6" s="73"/>
      <c r="Q6" s="73" t="s">
        <v>73</v>
      </c>
      <c r="R6" s="73" t="s">
        <v>74</v>
      </c>
    </row>
    <row r="7" spans="1:18">
      <c r="A7" s="73" t="s">
        <v>75</v>
      </c>
      <c r="F7" s="119">
        <v>24</v>
      </c>
      <c r="I7" s="71" t="s">
        <v>76</v>
      </c>
      <c r="O7" s="71">
        <v>1</v>
      </c>
      <c r="P7" s="71" t="s">
        <v>77</v>
      </c>
      <c r="Q7" s="78">
        <v>2.0199999999999999E-2</v>
      </c>
      <c r="R7" s="78">
        <f>2.02%*1.22</f>
        <v>2.4643999999999999E-2</v>
      </c>
    </row>
    <row r="8" spans="1:18">
      <c r="A8" s="73" t="s">
        <v>78</v>
      </c>
      <c r="F8" s="79">
        <v>0</v>
      </c>
      <c r="L8" s="71" t="s">
        <v>79</v>
      </c>
      <c r="M8" s="71" t="s">
        <v>80</v>
      </c>
      <c r="O8" s="71">
        <v>2</v>
      </c>
      <c r="P8" s="71" t="s">
        <v>81</v>
      </c>
      <c r="Q8" s="79">
        <f>2.07%*0.8</f>
        <v>1.6560000000000002E-2</v>
      </c>
      <c r="R8" s="79">
        <f>2.07%*0.8*1.22</f>
        <v>2.0203200000000001E-2</v>
      </c>
    </row>
    <row r="9" spans="1:18">
      <c r="A9" s="73" t="s">
        <v>82</v>
      </c>
      <c r="F9" s="119" t="s">
        <v>71</v>
      </c>
      <c r="I9" s="71" t="s">
        <v>83</v>
      </c>
      <c r="K9" s="71" t="s">
        <v>84</v>
      </c>
      <c r="L9" s="79"/>
      <c r="M9" s="119">
        <v>12</v>
      </c>
      <c r="O9" s="71">
        <v>3</v>
      </c>
      <c r="P9" s="71" t="s">
        <v>85</v>
      </c>
      <c r="Q9" s="79">
        <f>2.33%*0.7</f>
        <v>1.6310000000000002E-2</v>
      </c>
      <c r="R9" s="79">
        <f>2.33%*0.7*1.22</f>
        <v>1.9898200000000001E-2</v>
      </c>
    </row>
    <row r="10" spans="1:18">
      <c r="A10" s="73" t="s">
        <v>86</v>
      </c>
      <c r="F10" s="121">
        <v>1</v>
      </c>
      <c r="I10" s="71" t="s">
        <v>87</v>
      </c>
      <c r="K10" s="71" t="s">
        <v>88</v>
      </c>
      <c r="L10" s="79">
        <v>0</v>
      </c>
      <c r="M10" s="119">
        <v>0</v>
      </c>
      <c r="O10" s="71">
        <v>4</v>
      </c>
      <c r="P10" s="71" t="s">
        <v>89</v>
      </c>
      <c r="Q10" s="79">
        <f>2.76%*0.6</f>
        <v>1.6559999999999998E-2</v>
      </c>
      <c r="R10" s="79">
        <f>2.76%*0.6*1.22</f>
        <v>2.0203199999999998E-2</v>
      </c>
    </row>
    <row r="11" spans="1:18">
      <c r="A11" s="73"/>
      <c r="F11" s="121">
        <v>1</v>
      </c>
      <c r="L11" s="79"/>
      <c r="M11" s="119"/>
      <c r="Q11" s="79"/>
      <c r="R11" s="79">
        <f>3.03%*0.5*1.22</f>
        <v>1.8482999999999999E-2</v>
      </c>
    </row>
    <row r="12" spans="1:18">
      <c r="A12" s="73" t="s">
        <v>90</v>
      </c>
      <c r="F12" s="119" t="s">
        <v>87</v>
      </c>
      <c r="O12" s="71">
        <v>5</v>
      </c>
      <c r="P12" s="71" t="s">
        <v>91</v>
      </c>
      <c r="Q12" s="79">
        <f>3.03%*0.5</f>
        <v>1.5149999999999999E-2</v>
      </c>
      <c r="R12" s="79">
        <f>3.03%*0.5</f>
        <v>1.5149999999999999E-2</v>
      </c>
    </row>
    <row r="13" spans="1:18">
      <c r="A13" s="73" t="s">
        <v>92</v>
      </c>
      <c r="F13" s="79">
        <v>0</v>
      </c>
      <c r="G13" s="79"/>
      <c r="I13" s="71" t="s">
        <v>93</v>
      </c>
      <c r="K13" s="73" t="s">
        <v>94</v>
      </c>
      <c r="O13" s="71">
        <v>6</v>
      </c>
      <c r="P13" s="71" t="s">
        <v>95</v>
      </c>
      <c r="Q13" s="78">
        <f>Q12</f>
        <v>1.5149999999999999E-2</v>
      </c>
      <c r="R13" s="78">
        <f>R12</f>
        <v>1.5149999999999999E-2</v>
      </c>
    </row>
    <row r="14" spans="1:18">
      <c r="A14" s="73" t="s">
        <v>96</v>
      </c>
      <c r="F14" s="76">
        <v>0.49</v>
      </c>
      <c r="G14" s="79"/>
      <c r="I14" s="71" t="s">
        <v>2</v>
      </c>
      <c r="K14" s="79">
        <v>0</v>
      </c>
      <c r="O14" s="71">
        <v>7</v>
      </c>
      <c r="P14" s="71" t="s">
        <v>97</v>
      </c>
      <c r="Q14" s="78">
        <f>Q13</f>
        <v>1.5149999999999999E-2</v>
      </c>
      <c r="R14" s="78">
        <f>R13</f>
        <v>1.5149999999999999E-2</v>
      </c>
    </row>
    <row r="15" spans="1:18">
      <c r="A15" s="73" t="s">
        <v>98</v>
      </c>
      <c r="F15" s="79">
        <v>0</v>
      </c>
      <c r="G15" s="79"/>
    </row>
    <row r="16" spans="1:18">
      <c r="A16" s="73" t="s">
        <v>99</v>
      </c>
      <c r="F16" s="79">
        <f>XIRR(M20:M104,B20:B104)</f>
        <v>0.61597532629966734</v>
      </c>
    </row>
    <row r="17" spans="1:19">
      <c r="O17" s="78"/>
      <c r="P17" s="78"/>
      <c r="R17" s="71" t="str">
        <f>'Калькулятор 12-48 мес'!K12</f>
        <v>ФЛ</v>
      </c>
      <c r="S17" s="71" t="s">
        <v>100</v>
      </c>
    </row>
    <row r="18" spans="1:19">
      <c r="A18" s="92">
        <f>LARGE(A20:A1048576,1)</f>
        <v>84</v>
      </c>
      <c r="B18" s="92">
        <f>IF(A18&lt;F7,"протяните формулы",0)</f>
        <v>0</v>
      </c>
      <c r="C18" s="92">
        <f>SUM(C20:C104)</f>
        <v>-3.5527136788005009E-13</v>
      </c>
      <c r="D18" s="92">
        <f t="shared" ref="D18:M18" si="0">SUM(D20:D104)</f>
        <v>510.41666666666686</v>
      </c>
      <c r="E18" s="92">
        <f t="shared" si="0"/>
        <v>0</v>
      </c>
      <c r="F18" s="92">
        <f t="shared" si="0"/>
        <v>0</v>
      </c>
      <c r="G18" s="92">
        <f t="shared" si="0"/>
        <v>0</v>
      </c>
      <c r="H18" s="92">
        <f t="shared" si="0"/>
        <v>510.41666666666686</v>
      </c>
      <c r="I18" s="94"/>
      <c r="J18" s="92">
        <f t="shared" si="0"/>
        <v>0</v>
      </c>
      <c r="K18" s="92">
        <f t="shared" si="0"/>
        <v>0</v>
      </c>
      <c r="L18" s="92">
        <f t="shared" si="0"/>
        <v>0</v>
      </c>
      <c r="M18" s="92">
        <f t="shared" si="0"/>
        <v>510.41666666666686</v>
      </c>
      <c r="O18" s="122"/>
      <c r="P18" s="122"/>
    </row>
    <row r="19" spans="1:19" ht="76.5">
      <c r="A19" s="123" t="s">
        <v>101</v>
      </c>
      <c r="B19" s="123" t="s">
        <v>102</v>
      </c>
      <c r="C19" s="123" t="s">
        <v>103</v>
      </c>
      <c r="D19" s="123" t="s">
        <v>104</v>
      </c>
      <c r="E19" s="123" t="s">
        <v>105</v>
      </c>
      <c r="F19" s="123" t="s">
        <v>106</v>
      </c>
      <c r="G19" s="123" t="s">
        <v>107</v>
      </c>
      <c r="H19" s="123" t="s">
        <v>108</v>
      </c>
      <c r="I19" s="85" t="s">
        <v>109</v>
      </c>
      <c r="J19" s="123" t="s">
        <v>84</v>
      </c>
      <c r="K19" s="123" t="s">
        <v>110</v>
      </c>
      <c r="L19" s="123" t="s">
        <v>111</v>
      </c>
      <c r="M19" s="123" t="s">
        <v>112</v>
      </c>
      <c r="N19" s="123" t="s">
        <v>113</v>
      </c>
      <c r="O19" s="78"/>
      <c r="P19" s="78"/>
      <c r="Q19" s="88"/>
      <c r="R19" s="88"/>
      <c r="S19" s="88"/>
    </row>
    <row r="20" spans="1:19">
      <c r="A20" s="124">
        <v>0</v>
      </c>
      <c r="B20" s="124" t="s">
        <v>114</v>
      </c>
      <c r="C20" s="94">
        <f>IF(F6&gt;=40%,-(F5*60%),-(F5*(1-F6)))</f>
        <v>-1000</v>
      </c>
      <c r="D20" s="94"/>
      <c r="E20" s="94"/>
      <c r="F20" s="94"/>
      <c r="G20" s="94"/>
      <c r="H20" s="94">
        <f>SUM(C20:G20)</f>
        <v>-1000</v>
      </c>
      <c r="I20" s="94">
        <f>C20*20/120</f>
        <v>-166.66666666666666</v>
      </c>
      <c r="J20" s="94">
        <f>-F5*L9</f>
        <v>0</v>
      </c>
      <c r="K20" s="94">
        <f>-F5*L10</f>
        <v>0</v>
      </c>
      <c r="L20" s="94">
        <f>F5*F8</f>
        <v>0</v>
      </c>
      <c r="M20" s="95">
        <f>SUM(C20,D20,G20,J20,K20,L20)</f>
        <v>-1000</v>
      </c>
      <c r="N20" s="94">
        <f>-C20</f>
        <v>1000</v>
      </c>
      <c r="O20" s="78"/>
      <c r="P20" s="78"/>
    </row>
    <row r="21" spans="1:19">
      <c r="A21" s="92">
        <f>A20+1</f>
        <v>1</v>
      </c>
      <c r="B21" s="93">
        <f>EOMONTH(B20,0)+DAY(B20)</f>
        <v>43409</v>
      </c>
      <c r="C21" s="94">
        <f>IF(A21&lt;=$F$7,(IF($F$6&lt;=40%,IF($F$9=$I$6,(-$C$20-$F$5*$K$14)/$F$7+IF(A21=$F$7,$F$5*$K$14,0),MINA(((N20-$F$5*$K$14)/($F$7-A21+1)*$F$10),(N20-$F$5*$K$14))+IF(A21=$F$7,$F$5*$K$14,0)),IF(A21=1,F5*(F6-40%),IF($F$9=$I$6,(-$C$20-$F$5*$K$14)/$F$7+IF(A21=$F$7,$F$5*$K$14,0),MINA(((N20-$F$5*$K$14)/($F$7-A21+1)*$F$10),(N20-$F$5*$K$14))+IF(A21=$F$7,$F$5*$K$14,0))))),0)</f>
        <v>41.666666666666664</v>
      </c>
      <c r="D21" s="94">
        <f t="shared" ref="D21:D84" si="1">IF(A21&lt;=$F$7,IF($F$12=$I$9,$F$5*$F$13,N20*$F$14/12),0)+-IF(AND(A21&lt;=$M$9,$M$9&lt;&gt;0),$J$20/$M$9,0)+-IF(AND(A21&lt;=$M$10,$M$10&lt;&gt;0),$K$20/$M$10,0)</f>
        <v>40.833333333333336</v>
      </c>
      <c r="E21" s="94">
        <f>IF($R$17="ЮЛ",D21*0.2,0)</f>
        <v>0</v>
      </c>
      <c r="F21" s="94">
        <f>IF(AND(A21&lt;=$F$7,$S$17="ДА"),($F$5*VLOOKUP(ROUNDUP(A21/12,0),$O$7:$Q$14,3,0)/12),0)</f>
        <v>0</v>
      </c>
      <c r="G21" s="94">
        <v>0</v>
      </c>
      <c r="H21" s="94">
        <f>SUM(C21:G21)+SUM(C21:G21)*$F$15</f>
        <v>82.5</v>
      </c>
      <c r="I21" s="94">
        <f t="shared" ref="I21:I84" si="2">C21*20/120</f>
        <v>6.9444444444444438</v>
      </c>
      <c r="J21" s="94"/>
      <c r="K21" s="94"/>
      <c r="L21" s="94"/>
      <c r="M21" s="95">
        <f t="shared" ref="M21:M84" si="3">SUM(C21,D21,G21,J21,K21,L21)</f>
        <v>82.5</v>
      </c>
      <c r="N21" s="94">
        <f>N20-C21</f>
        <v>958.33333333333337</v>
      </c>
      <c r="O21" s="78"/>
      <c r="P21" s="78"/>
    </row>
    <row r="22" spans="1:19">
      <c r="A22" s="92">
        <v>2</v>
      </c>
      <c r="B22" s="93">
        <f t="shared" ref="B22:B85" si="4">EOMONTH(B21,0)+DAY(B21)</f>
        <v>43439</v>
      </c>
      <c r="C22" s="94">
        <f>IF(A22&lt;=$F$7,(IF($F$6&lt;=40%,IF($F$9=$I$6,(-$C$20-$F$5*$K$14)/$F$7+IF(A22=$F$7,$F$5*$K$14,0),MINA(((N21-$F$5*$K$14)/($F$7-A22+1)*$F$10),(N21-$F$5*$K$14))+IF(A22=$F$7,$F$5*$K$14,0)),IF(A22=1,F6*(F7-40%),IF($F$9=$I$6,(-$C$20-$F$5*$K$14)/$F$7+IF(A22=$F$7,$F$5*$K$14,0),MINA(((N21-$F$5*$K$14)/($F$7-A22+1)*$F$10),(N21-$F$5*$K$14))+IF(A22=$F$7,$F$5*$K$14,0))))),0)</f>
        <v>41.666666666666664</v>
      </c>
      <c r="D22" s="94">
        <f t="shared" si="1"/>
        <v>39.13194444444445</v>
      </c>
      <c r="E22" s="94">
        <f t="shared" ref="E22:E81" si="5">IF($R$17="ЮЛ",D22*0.2,0)</f>
        <v>0</v>
      </c>
      <c r="F22" s="94">
        <f t="shared" ref="F22:F71" si="6">IF(AND(A22&lt;=$F$7,$S$17="ДА"),($F$5*VLOOKUP(ROUNDUP(A22/12,0),$O$7:$Q$14,3,0)/12),0)</f>
        <v>0</v>
      </c>
      <c r="G22" s="94">
        <v>0</v>
      </c>
      <c r="H22" s="94">
        <f t="shared" ref="H22:H85" si="7">SUM(C22:G22)+SUM(C22:G22)*$F$15</f>
        <v>80.798611111111114</v>
      </c>
      <c r="I22" s="94">
        <f t="shared" si="2"/>
        <v>6.9444444444444438</v>
      </c>
      <c r="J22" s="94"/>
      <c r="K22" s="94"/>
      <c r="L22" s="94"/>
      <c r="M22" s="95">
        <f t="shared" si="3"/>
        <v>80.798611111111114</v>
      </c>
      <c r="N22" s="94">
        <f t="shared" ref="N22:N85" si="8">N21-C22</f>
        <v>916.66666666666674</v>
      </c>
      <c r="O22" s="78"/>
      <c r="P22" s="78"/>
    </row>
    <row r="23" spans="1:19">
      <c r="A23" s="92">
        <v>3</v>
      </c>
      <c r="B23" s="93">
        <f t="shared" si="4"/>
        <v>43470</v>
      </c>
      <c r="C23" s="94">
        <f>IF(A23&lt;=$F$7,(IF($F$6&lt;=40%,IF($F$9=$I$6,(-$C$20-$F$5*$K$14)/$F$7+IF(A23=$F$7,$F$5*$K$14,0),MINA(((N22-$F$5*$K$14)/($F$7-A23+1)*$F$10),(N22-$F$5*$K$14))+IF(A23=$F$7,$F$5*$K$14,0)),IF(A23=1,F7*(F8-40%),IF($F$9=$I$6,(-$C$20-$F$5*$K$14)/$F$7+IF(A23=$F$7,$F$5*$K$14,0),MINA(((N22-$F$5*$K$14)/($F$7-A23+1)*$F$10),(N22-$F$5*$K$14))+IF(A23=$F$7,$F$5*$K$14,0))))),0)</f>
        <v>41.666666666666664</v>
      </c>
      <c r="D23" s="94">
        <f t="shared" si="1"/>
        <v>37.430555555555557</v>
      </c>
      <c r="E23" s="94">
        <f t="shared" si="5"/>
        <v>0</v>
      </c>
      <c r="F23" s="94">
        <f t="shared" si="6"/>
        <v>0</v>
      </c>
      <c r="G23" s="94">
        <v>0</v>
      </c>
      <c r="H23" s="94">
        <f t="shared" si="7"/>
        <v>79.097222222222229</v>
      </c>
      <c r="I23" s="94">
        <f t="shared" si="2"/>
        <v>6.9444444444444438</v>
      </c>
      <c r="J23" s="94"/>
      <c r="K23" s="94"/>
      <c r="L23" s="94"/>
      <c r="M23" s="95">
        <f t="shared" si="3"/>
        <v>79.097222222222229</v>
      </c>
      <c r="N23" s="94">
        <f t="shared" si="8"/>
        <v>875.00000000000011</v>
      </c>
      <c r="O23" s="78"/>
      <c r="P23" s="78"/>
    </row>
    <row r="24" spans="1:19">
      <c r="A24" s="92">
        <v>4</v>
      </c>
      <c r="B24" s="93">
        <f t="shared" si="4"/>
        <v>43501</v>
      </c>
      <c r="C24" s="94">
        <f>IF(A24&lt;=$F$7,(IF($F$6&lt;=40%,IF($F$9=$I$6,(-$C$20-$F$5*$K$14)/$F$7+IF(A24=$F$7,$F$5*$K$14,0),MINA(((N23-$F$5*$K$14)/($F$7-A24+1)*$F$10),(N23-$F$5*$K$14))+IF(A24=$F$7,$F$5*$K$14,0)),IF(A24=1,F8*(F9-40%),IF($F$9=$I$6,(-$C$20-$F$5*$K$14)/$F$7+IF(A24=$F$7,$F$5*$K$14,0),MINA(((N23-$F$5*$K$14)/($F$7-A24+1)*$F$10),(N23-$F$5*$K$14))+IF(A24=$F$7,$F$5*$K$14,0))))),0)</f>
        <v>41.666666666666664</v>
      </c>
      <c r="D24" s="94">
        <f t="shared" si="1"/>
        <v>35.729166666666671</v>
      </c>
      <c r="E24" s="94">
        <f t="shared" si="5"/>
        <v>0</v>
      </c>
      <c r="F24" s="94">
        <f t="shared" si="6"/>
        <v>0</v>
      </c>
      <c r="G24" s="94">
        <v>0</v>
      </c>
      <c r="H24" s="94">
        <f t="shared" si="7"/>
        <v>77.395833333333343</v>
      </c>
      <c r="I24" s="94">
        <f t="shared" si="2"/>
        <v>6.9444444444444438</v>
      </c>
      <c r="J24" s="94"/>
      <c r="K24" s="94"/>
      <c r="L24" s="94"/>
      <c r="M24" s="95">
        <f t="shared" si="3"/>
        <v>77.395833333333343</v>
      </c>
      <c r="N24" s="94">
        <f t="shared" si="8"/>
        <v>833.33333333333348</v>
      </c>
      <c r="O24" s="78"/>
      <c r="P24" s="78"/>
    </row>
    <row r="25" spans="1:19">
      <c r="A25" s="92">
        <v>5</v>
      </c>
      <c r="B25" s="93">
        <f t="shared" si="4"/>
        <v>43529</v>
      </c>
      <c r="C25" s="94">
        <f>IF(A25&lt;=$F$7,(IF($F$6&lt;=40%,IF($F$9=$I$6,(-$C$20-$F$5*$K$14)/$F$7+IF(A25=$F$7,$F$5*$K$14,0),MINA(((N24-$F$5*$K$14)/($F$7-A25+1)*$F$10),(N24-$F$5*$K$14))+IF(A25=$F$7,$F$5*$K$14,0)),IF(A25=1,F9*(F10-40%),IF($F$9=$I$6,(-$C$20-$F$5*$K$14)/$F$7+IF(A25=$F$7,$F$5*$K$14,0),MINA(((N24-$F$5*$K$14)/($F$7-A25+1)*$F$10),(N24-$F$5*$K$14))+IF(A25=$F$7,$F$5*$K$14,0))))),0)</f>
        <v>41.666666666666664</v>
      </c>
      <c r="D25" s="94">
        <f t="shared" si="1"/>
        <v>34.027777777777786</v>
      </c>
      <c r="E25" s="94">
        <f t="shared" si="5"/>
        <v>0</v>
      </c>
      <c r="F25" s="94">
        <f t="shared" si="6"/>
        <v>0</v>
      </c>
      <c r="G25" s="94">
        <v>0</v>
      </c>
      <c r="H25" s="94">
        <f t="shared" si="7"/>
        <v>75.694444444444457</v>
      </c>
      <c r="I25" s="94">
        <f t="shared" si="2"/>
        <v>6.9444444444444438</v>
      </c>
      <c r="J25" s="94"/>
      <c r="K25" s="94"/>
      <c r="L25" s="94"/>
      <c r="M25" s="95">
        <f t="shared" si="3"/>
        <v>75.694444444444457</v>
      </c>
      <c r="N25" s="94">
        <f t="shared" si="8"/>
        <v>791.66666666666686</v>
      </c>
    </row>
    <row r="26" spans="1:19">
      <c r="A26" s="92">
        <v>6</v>
      </c>
      <c r="B26" s="93">
        <f t="shared" si="4"/>
        <v>43560</v>
      </c>
      <c r="C26" s="94">
        <f>IF(A26&lt;=$F$7,(IF($F$6&lt;=40%,IF($F$9=$I$6,(-$C$20-$F$5*$K$14)/$F$7+IF(A26=$F$7,$F$5*$K$14,0),MINA(((N25-$F$5*$K$14)/($F$7-A26+1)*$F$10),(N25-$F$5*$K$14))+IF(A26=$F$7,$F$5*$K$14,0)),IF(A26=1,F10*(F12-40%),IF($F$9=$I$6,(-$C$20-$F$5*$K$14)/$F$7+IF(A26=$F$7,$F$5*$K$14,0),MINA(((N25-$F$5*$K$14)/($F$7-A26+1)*$F$10),(N25-$F$5*$K$14))+IF(A26=$F$7,$F$5*$K$14,0))))),0)</f>
        <v>41.666666666666664</v>
      </c>
      <c r="D26" s="94">
        <f t="shared" si="1"/>
        <v>32.326388888888893</v>
      </c>
      <c r="E26" s="94">
        <f t="shared" si="5"/>
        <v>0</v>
      </c>
      <c r="F26" s="94">
        <f t="shared" si="6"/>
        <v>0</v>
      </c>
      <c r="G26" s="94">
        <v>0</v>
      </c>
      <c r="H26" s="94">
        <f t="shared" si="7"/>
        <v>73.993055555555557</v>
      </c>
      <c r="I26" s="94">
        <f t="shared" si="2"/>
        <v>6.9444444444444438</v>
      </c>
      <c r="J26" s="94"/>
      <c r="K26" s="94"/>
      <c r="L26" s="94"/>
      <c r="M26" s="95">
        <f t="shared" si="3"/>
        <v>73.993055555555557</v>
      </c>
      <c r="N26" s="94">
        <f t="shared" si="8"/>
        <v>750.00000000000023</v>
      </c>
    </row>
    <row r="27" spans="1:19">
      <c r="A27" s="92">
        <v>7</v>
      </c>
      <c r="B27" s="93">
        <f t="shared" si="4"/>
        <v>43590</v>
      </c>
      <c r="C27" s="94">
        <f t="shared" ref="C27:C32" si="9">IF(A27&lt;=$F$7,(IF($F$6&lt;=40%,IF($F$9=$I$6,(-$C$20-$F$5*$K$14)/$F$7+IF(A27=$F$7,$F$5*$K$14,0),MINA(((N26-$F$5*$K$14)/($F$7-A27+1)*$F$10),(N26-$F$5*$K$14))+IF(A27=$F$7,$F$5*$K$14,0)),IF(A27=1,F12*(F13-40%),IF($F$9=$I$6,(-$C$20-$F$5*$K$14)/$F$7+IF(A27=$F$7,$F$5*$K$14,0),MINA(((N26-$F$5*$K$14)/($F$7-A27+1)*$F$10),(N26-$F$5*$K$14))+IF(A27=$F$7,$F$5*$K$14,0))))),0)</f>
        <v>41.666666666666664</v>
      </c>
      <c r="D27" s="94">
        <f t="shared" si="1"/>
        <v>30.625000000000011</v>
      </c>
      <c r="E27" s="94">
        <f t="shared" si="5"/>
        <v>0</v>
      </c>
      <c r="F27" s="94">
        <f t="shared" si="6"/>
        <v>0</v>
      </c>
      <c r="G27" s="94">
        <v>0</v>
      </c>
      <c r="H27" s="94">
        <f t="shared" si="7"/>
        <v>72.291666666666671</v>
      </c>
      <c r="I27" s="94">
        <f t="shared" si="2"/>
        <v>6.9444444444444438</v>
      </c>
      <c r="J27" s="94"/>
      <c r="K27" s="94"/>
      <c r="L27" s="94"/>
      <c r="M27" s="95">
        <f t="shared" si="3"/>
        <v>72.291666666666671</v>
      </c>
      <c r="N27" s="94">
        <f t="shared" si="8"/>
        <v>708.3333333333336</v>
      </c>
    </row>
    <row r="28" spans="1:19">
      <c r="A28" s="92">
        <v>8</v>
      </c>
      <c r="B28" s="93">
        <f t="shared" si="4"/>
        <v>43621</v>
      </c>
      <c r="C28" s="94">
        <f t="shared" si="9"/>
        <v>41.666666666666664</v>
      </c>
      <c r="D28" s="94">
        <f t="shared" si="1"/>
        <v>28.923611111111125</v>
      </c>
      <c r="E28" s="94">
        <f t="shared" si="5"/>
        <v>0</v>
      </c>
      <c r="F28" s="94">
        <f t="shared" si="6"/>
        <v>0</v>
      </c>
      <c r="G28" s="94">
        <v>0</v>
      </c>
      <c r="H28" s="94">
        <f t="shared" si="7"/>
        <v>70.590277777777786</v>
      </c>
      <c r="I28" s="94">
        <f t="shared" si="2"/>
        <v>6.9444444444444438</v>
      </c>
      <c r="J28" s="94"/>
      <c r="K28" s="94"/>
      <c r="L28" s="94"/>
      <c r="M28" s="95">
        <f t="shared" si="3"/>
        <v>70.590277777777786</v>
      </c>
      <c r="N28" s="94">
        <f t="shared" si="8"/>
        <v>666.66666666666697</v>
      </c>
    </row>
    <row r="29" spans="1:19">
      <c r="A29" s="92">
        <v>9</v>
      </c>
      <c r="B29" s="93">
        <f t="shared" si="4"/>
        <v>43651</v>
      </c>
      <c r="C29" s="94">
        <f t="shared" si="9"/>
        <v>41.666666666666664</v>
      </c>
      <c r="D29" s="94">
        <f t="shared" si="1"/>
        <v>27.222222222222232</v>
      </c>
      <c r="E29" s="94">
        <f t="shared" si="5"/>
        <v>0</v>
      </c>
      <c r="F29" s="94">
        <f t="shared" si="6"/>
        <v>0</v>
      </c>
      <c r="G29" s="94">
        <v>0</v>
      </c>
      <c r="H29" s="94">
        <f t="shared" si="7"/>
        <v>68.8888888888889</v>
      </c>
      <c r="I29" s="94">
        <f t="shared" si="2"/>
        <v>6.9444444444444438</v>
      </c>
      <c r="J29" s="94"/>
      <c r="K29" s="94"/>
      <c r="L29" s="94"/>
      <c r="M29" s="95">
        <f t="shared" si="3"/>
        <v>68.8888888888889</v>
      </c>
      <c r="N29" s="94">
        <f t="shared" si="8"/>
        <v>625.00000000000034</v>
      </c>
    </row>
    <row r="30" spans="1:19">
      <c r="A30" s="92">
        <v>10</v>
      </c>
      <c r="B30" s="93">
        <f t="shared" si="4"/>
        <v>43682</v>
      </c>
      <c r="C30" s="94">
        <f t="shared" si="9"/>
        <v>41.666666666666664</v>
      </c>
      <c r="D30" s="94">
        <f t="shared" si="1"/>
        <v>25.520833333333346</v>
      </c>
      <c r="E30" s="94">
        <f t="shared" si="5"/>
        <v>0</v>
      </c>
      <c r="F30" s="94">
        <f t="shared" si="6"/>
        <v>0</v>
      </c>
      <c r="G30" s="94">
        <v>0</v>
      </c>
      <c r="H30" s="94">
        <f t="shared" si="7"/>
        <v>67.187500000000014</v>
      </c>
      <c r="I30" s="94">
        <f t="shared" si="2"/>
        <v>6.9444444444444438</v>
      </c>
      <c r="J30" s="94"/>
      <c r="K30" s="94"/>
      <c r="L30" s="94"/>
      <c r="M30" s="95">
        <f t="shared" si="3"/>
        <v>67.187500000000014</v>
      </c>
      <c r="N30" s="94">
        <f t="shared" si="8"/>
        <v>583.33333333333371</v>
      </c>
    </row>
    <row r="31" spans="1:19">
      <c r="A31" s="92">
        <v>11</v>
      </c>
      <c r="B31" s="93">
        <f t="shared" si="4"/>
        <v>43713</v>
      </c>
      <c r="C31" s="94">
        <f t="shared" si="9"/>
        <v>41.666666666666664</v>
      </c>
      <c r="D31" s="94">
        <f t="shared" si="1"/>
        <v>23.819444444444461</v>
      </c>
      <c r="E31" s="94">
        <f t="shared" si="5"/>
        <v>0</v>
      </c>
      <c r="F31" s="94">
        <f t="shared" si="6"/>
        <v>0</v>
      </c>
      <c r="G31" s="94">
        <v>0</v>
      </c>
      <c r="H31" s="94">
        <f t="shared" si="7"/>
        <v>65.486111111111128</v>
      </c>
      <c r="I31" s="94">
        <f t="shared" si="2"/>
        <v>6.9444444444444438</v>
      </c>
      <c r="J31" s="94"/>
      <c r="K31" s="94"/>
      <c r="L31" s="94"/>
      <c r="M31" s="95">
        <f t="shared" si="3"/>
        <v>65.486111111111128</v>
      </c>
      <c r="N31" s="94">
        <f t="shared" si="8"/>
        <v>541.66666666666708</v>
      </c>
    </row>
    <row r="32" spans="1:19">
      <c r="A32" s="92">
        <v>12</v>
      </c>
      <c r="B32" s="93">
        <f t="shared" si="4"/>
        <v>43743</v>
      </c>
      <c r="C32" s="94">
        <f t="shared" si="9"/>
        <v>41.666666666666664</v>
      </c>
      <c r="D32" s="94">
        <f t="shared" si="1"/>
        <v>22.118055555555571</v>
      </c>
      <c r="E32" s="94">
        <f t="shared" si="5"/>
        <v>0</v>
      </c>
      <c r="F32" s="94">
        <f t="shared" si="6"/>
        <v>0</v>
      </c>
      <c r="G32" s="94">
        <v>0</v>
      </c>
      <c r="H32" s="94">
        <f t="shared" si="7"/>
        <v>63.784722222222236</v>
      </c>
      <c r="I32" s="94">
        <f t="shared" si="2"/>
        <v>6.9444444444444438</v>
      </c>
      <c r="J32" s="94"/>
      <c r="K32" s="94"/>
      <c r="L32" s="94"/>
      <c r="M32" s="95">
        <f t="shared" si="3"/>
        <v>63.784722222222236</v>
      </c>
      <c r="N32" s="94">
        <f t="shared" si="8"/>
        <v>500.0000000000004</v>
      </c>
    </row>
    <row r="33" spans="1:14">
      <c r="A33" s="92">
        <v>13</v>
      </c>
      <c r="B33" s="93">
        <f t="shared" si="4"/>
        <v>43774</v>
      </c>
      <c r="C33" s="94">
        <f>IF(A33&lt;=$F$7,(IF($F$6&lt;=40%,IF($F$9=$I$6,(-$C$20-$F$5*$K$14)/$F$7+IF(A33=$F$7,$F$5*$K$14,0),MINA(((N32-$F$5*$K$14)/($F$7-A33+1)*$F$11),(N32-$F$5*$K$14))+IF(A33=$F$7,$F$5*$K$14,0)),IF(A33=1,F18*(F19-40%),IF($F$9=$I$6,(-$C$20-$F$5*$K$14)/$F$7+IF(A33=$F$7,$F$5*$K$14,0),MINA(((N32-$F$5*$K$14)/($F$7-A33+1)*$F$10),(N32-$F$5*$K$14))+IF(A33=$F$7,$F$5*$K$14,0))))),0)</f>
        <v>41.666666666666664</v>
      </c>
      <c r="D33" s="94">
        <f t="shared" si="1"/>
        <v>20.416666666666682</v>
      </c>
      <c r="E33" s="94">
        <f t="shared" si="5"/>
        <v>0</v>
      </c>
      <c r="F33" s="94">
        <f t="shared" si="6"/>
        <v>0</v>
      </c>
      <c r="G33" s="94">
        <v>0</v>
      </c>
      <c r="H33" s="94">
        <f t="shared" si="7"/>
        <v>62.083333333333343</v>
      </c>
      <c r="I33" s="94">
        <f t="shared" si="2"/>
        <v>6.9444444444444438</v>
      </c>
      <c r="J33" s="94"/>
      <c r="K33" s="94"/>
      <c r="L33" s="94"/>
      <c r="M33" s="95">
        <f t="shared" si="3"/>
        <v>62.083333333333343</v>
      </c>
      <c r="N33" s="94">
        <f t="shared" si="8"/>
        <v>458.33333333333371</v>
      </c>
    </row>
    <row r="34" spans="1:14">
      <c r="A34" s="92">
        <v>14</v>
      </c>
      <c r="B34" s="93">
        <f t="shared" si="4"/>
        <v>43804</v>
      </c>
      <c r="C34" s="94">
        <f t="shared" ref="C34:C44" si="10">IF(A34&lt;=$F$7,(IF($F$6&lt;=40%,IF($F$9=$I$6,(-$C$20-$F$5*$K$14)/$F$7+IF(A34=$F$7,$F$5*$K$14,0),MINA(((N33-$F$5*$K$14)/($F$7-A34+1)*$F$11),(N33-$F$5*$K$14))+IF(A34=$F$7,$F$5*$K$14,0)),IF(A34=1,F19*(F20-40%),IF($F$9=$I$6,(-$C$20-$F$5*$K$14)/$F$7+IF(A34=$F$7,$F$5*$K$14,0),MINA(((N33-$F$5*$K$14)/($F$7-A34+1)*$F$10),(N33-$F$5*$K$14))+IF(A34=$F$7,$F$5*$K$14,0))))),0)</f>
        <v>41.666666666666664</v>
      </c>
      <c r="D34" s="94">
        <f t="shared" si="1"/>
        <v>18.715277777777793</v>
      </c>
      <c r="E34" s="94">
        <f t="shared" si="5"/>
        <v>0</v>
      </c>
      <c r="F34" s="94">
        <f t="shared" si="6"/>
        <v>0</v>
      </c>
      <c r="G34" s="94">
        <v>0</v>
      </c>
      <c r="H34" s="94">
        <f t="shared" si="7"/>
        <v>60.381944444444457</v>
      </c>
      <c r="I34" s="94">
        <f t="shared" si="2"/>
        <v>6.9444444444444438</v>
      </c>
      <c r="J34" s="94"/>
      <c r="K34" s="94"/>
      <c r="L34" s="94"/>
      <c r="M34" s="95">
        <f t="shared" si="3"/>
        <v>60.381944444444457</v>
      </c>
      <c r="N34" s="94">
        <f t="shared" si="8"/>
        <v>416.66666666666703</v>
      </c>
    </row>
    <row r="35" spans="1:14">
      <c r="A35" s="92">
        <v>15</v>
      </c>
      <c r="B35" s="93">
        <f t="shared" si="4"/>
        <v>43835</v>
      </c>
      <c r="C35" s="94">
        <f>IF(A35&lt;=$F$7,(IF($F$6&lt;=40%,IF($F$9=$I$6,(-$C$20-$F$5*$K$14)/$F$7+IF(A35=$F$7,$F$5*$K$14,0),MINA(((N34-$F$5*$K$14)/($F$7-A35+1)*$F$11),(N34-$F$5*$K$14))+IF(A35=$F$7,$F$5*$K$14,0)),IF(A35=1,F20*(F21-40%),IF($F$9=$I$6,(-$C$20-$F$5*$K$14)/$F$7+IF(A35=$F$7,$F$5*$K$14,0),MINA(((N34-$F$5*$K$14)/($F$7-A35+1)*$F$10),(N34-$F$5*$K$14))+IF(A35=$F$7,$F$5*$K$14,0))))),0)</f>
        <v>41.666666666666664</v>
      </c>
      <c r="D35" s="94">
        <f t="shared" si="1"/>
        <v>17.013888888888903</v>
      </c>
      <c r="E35" s="94">
        <f t="shared" si="5"/>
        <v>0</v>
      </c>
      <c r="F35" s="94">
        <f t="shared" si="6"/>
        <v>0</v>
      </c>
      <c r="G35" s="94">
        <v>0</v>
      </c>
      <c r="H35" s="94">
        <f t="shared" si="7"/>
        <v>58.680555555555571</v>
      </c>
      <c r="I35" s="94">
        <f t="shared" si="2"/>
        <v>6.9444444444444438</v>
      </c>
      <c r="J35" s="94"/>
      <c r="K35" s="94"/>
      <c r="L35" s="94"/>
      <c r="M35" s="95">
        <f t="shared" si="3"/>
        <v>58.680555555555571</v>
      </c>
      <c r="N35" s="94">
        <f t="shared" si="8"/>
        <v>375.00000000000034</v>
      </c>
    </row>
    <row r="36" spans="1:14">
      <c r="A36" s="92">
        <v>16</v>
      </c>
      <c r="B36" s="93">
        <f t="shared" si="4"/>
        <v>43866</v>
      </c>
      <c r="C36" s="94">
        <f t="shared" si="10"/>
        <v>41.666666666666664</v>
      </c>
      <c r="D36" s="94">
        <f t="shared" si="1"/>
        <v>15.312500000000014</v>
      </c>
      <c r="E36" s="94">
        <f t="shared" si="5"/>
        <v>0</v>
      </c>
      <c r="F36" s="94">
        <f t="shared" si="6"/>
        <v>0</v>
      </c>
      <c r="G36" s="94">
        <v>0</v>
      </c>
      <c r="H36" s="94">
        <f t="shared" si="7"/>
        <v>56.979166666666679</v>
      </c>
      <c r="I36" s="94">
        <f t="shared" si="2"/>
        <v>6.9444444444444438</v>
      </c>
      <c r="J36" s="94"/>
      <c r="K36" s="94"/>
      <c r="L36" s="94"/>
      <c r="M36" s="95">
        <f t="shared" si="3"/>
        <v>56.979166666666679</v>
      </c>
      <c r="N36" s="94">
        <f t="shared" si="8"/>
        <v>333.33333333333366</v>
      </c>
    </row>
    <row r="37" spans="1:14">
      <c r="A37" s="92">
        <v>17</v>
      </c>
      <c r="B37" s="93">
        <f t="shared" si="4"/>
        <v>43895</v>
      </c>
      <c r="C37" s="94">
        <f t="shared" si="10"/>
        <v>41.666666666666664</v>
      </c>
      <c r="D37" s="94">
        <f t="shared" si="1"/>
        <v>13.611111111111123</v>
      </c>
      <c r="E37" s="94">
        <f t="shared" si="5"/>
        <v>0</v>
      </c>
      <c r="F37" s="94">
        <f t="shared" si="6"/>
        <v>0</v>
      </c>
      <c r="G37" s="94">
        <v>0</v>
      </c>
      <c r="H37" s="94">
        <f t="shared" si="7"/>
        <v>55.277777777777786</v>
      </c>
      <c r="I37" s="94">
        <f t="shared" si="2"/>
        <v>6.9444444444444438</v>
      </c>
      <c r="J37" s="94"/>
      <c r="K37" s="94"/>
      <c r="L37" s="94"/>
      <c r="M37" s="95">
        <f t="shared" si="3"/>
        <v>55.277777777777786</v>
      </c>
      <c r="N37" s="94">
        <f t="shared" si="8"/>
        <v>291.66666666666697</v>
      </c>
    </row>
    <row r="38" spans="1:14">
      <c r="A38" s="92">
        <v>18</v>
      </c>
      <c r="B38" s="93">
        <f t="shared" si="4"/>
        <v>43926</v>
      </c>
      <c r="C38" s="94">
        <f t="shared" si="10"/>
        <v>41.666666666666664</v>
      </c>
      <c r="D38" s="94">
        <f t="shared" si="1"/>
        <v>11.909722222222234</v>
      </c>
      <c r="E38" s="94">
        <f t="shared" si="5"/>
        <v>0</v>
      </c>
      <c r="F38" s="94">
        <f t="shared" si="6"/>
        <v>0</v>
      </c>
      <c r="G38" s="94">
        <v>0</v>
      </c>
      <c r="H38" s="94">
        <f t="shared" si="7"/>
        <v>53.5763888888889</v>
      </c>
      <c r="I38" s="94">
        <f t="shared" si="2"/>
        <v>6.9444444444444438</v>
      </c>
      <c r="J38" s="94"/>
      <c r="K38" s="94"/>
      <c r="L38" s="94"/>
      <c r="M38" s="95">
        <f t="shared" si="3"/>
        <v>53.5763888888889</v>
      </c>
      <c r="N38" s="94">
        <f t="shared" si="8"/>
        <v>250.00000000000031</v>
      </c>
    </row>
    <row r="39" spans="1:14">
      <c r="A39" s="92">
        <v>19</v>
      </c>
      <c r="B39" s="93">
        <f t="shared" si="4"/>
        <v>43956</v>
      </c>
      <c r="C39" s="94">
        <f t="shared" si="10"/>
        <v>41.666666666666664</v>
      </c>
      <c r="D39" s="94">
        <f t="shared" si="1"/>
        <v>10.208333333333346</v>
      </c>
      <c r="E39" s="94">
        <f t="shared" si="5"/>
        <v>0</v>
      </c>
      <c r="F39" s="94">
        <f t="shared" si="6"/>
        <v>0</v>
      </c>
      <c r="G39" s="94">
        <v>0</v>
      </c>
      <c r="H39" s="94">
        <f t="shared" si="7"/>
        <v>51.875000000000014</v>
      </c>
      <c r="I39" s="94">
        <f t="shared" si="2"/>
        <v>6.9444444444444438</v>
      </c>
      <c r="J39" s="94"/>
      <c r="K39" s="94"/>
      <c r="L39" s="94"/>
      <c r="M39" s="95">
        <f t="shared" si="3"/>
        <v>51.875000000000014</v>
      </c>
      <c r="N39" s="94">
        <f t="shared" si="8"/>
        <v>208.33333333333366</v>
      </c>
    </row>
    <row r="40" spans="1:14">
      <c r="A40" s="92">
        <v>20</v>
      </c>
      <c r="B40" s="93">
        <f t="shared" si="4"/>
        <v>43987</v>
      </c>
      <c r="C40" s="94">
        <f t="shared" si="10"/>
        <v>41.666666666666664</v>
      </c>
      <c r="D40" s="94">
        <f t="shared" si="1"/>
        <v>8.5069444444444571</v>
      </c>
      <c r="E40" s="94">
        <f t="shared" si="5"/>
        <v>0</v>
      </c>
      <c r="F40" s="94">
        <f t="shared" si="6"/>
        <v>0</v>
      </c>
      <c r="G40" s="94">
        <v>0</v>
      </c>
      <c r="H40" s="94">
        <f t="shared" si="7"/>
        <v>50.173611111111121</v>
      </c>
      <c r="I40" s="94">
        <f t="shared" si="2"/>
        <v>6.9444444444444438</v>
      </c>
      <c r="J40" s="94"/>
      <c r="K40" s="94"/>
      <c r="L40" s="94"/>
      <c r="M40" s="95">
        <f t="shared" si="3"/>
        <v>50.173611111111121</v>
      </c>
      <c r="N40" s="94">
        <f t="shared" si="8"/>
        <v>166.666666666667</v>
      </c>
    </row>
    <row r="41" spans="1:14">
      <c r="A41" s="92">
        <v>21</v>
      </c>
      <c r="B41" s="93">
        <f t="shared" si="4"/>
        <v>44017</v>
      </c>
      <c r="C41" s="94">
        <f t="shared" si="10"/>
        <v>41.666666666666664</v>
      </c>
      <c r="D41" s="94">
        <f t="shared" si="1"/>
        <v>6.8055555555555687</v>
      </c>
      <c r="E41" s="94">
        <f t="shared" si="5"/>
        <v>0</v>
      </c>
      <c r="F41" s="94">
        <f t="shared" si="6"/>
        <v>0</v>
      </c>
      <c r="G41" s="94">
        <v>0</v>
      </c>
      <c r="H41" s="94">
        <f t="shared" si="7"/>
        <v>48.472222222222236</v>
      </c>
      <c r="I41" s="94">
        <f t="shared" si="2"/>
        <v>6.9444444444444438</v>
      </c>
      <c r="J41" s="94"/>
      <c r="K41" s="94"/>
      <c r="L41" s="94"/>
      <c r="M41" s="95">
        <f t="shared" si="3"/>
        <v>48.472222222222236</v>
      </c>
      <c r="N41" s="94">
        <f t="shared" si="8"/>
        <v>125.00000000000034</v>
      </c>
    </row>
    <row r="42" spans="1:14">
      <c r="A42" s="92">
        <v>22</v>
      </c>
      <c r="B42" s="93">
        <f t="shared" si="4"/>
        <v>44048</v>
      </c>
      <c r="C42" s="94">
        <f t="shared" si="10"/>
        <v>41.666666666666664</v>
      </c>
      <c r="D42" s="94">
        <f t="shared" si="1"/>
        <v>5.1041666666666803</v>
      </c>
      <c r="E42" s="94">
        <f t="shared" si="5"/>
        <v>0</v>
      </c>
      <c r="F42" s="94">
        <f t="shared" si="6"/>
        <v>0</v>
      </c>
      <c r="G42" s="94">
        <v>0</v>
      </c>
      <c r="H42" s="94">
        <f t="shared" si="7"/>
        <v>46.770833333333343</v>
      </c>
      <c r="I42" s="94">
        <f t="shared" si="2"/>
        <v>6.9444444444444438</v>
      </c>
      <c r="J42" s="94"/>
      <c r="K42" s="94"/>
      <c r="L42" s="94"/>
      <c r="M42" s="95">
        <f t="shared" si="3"/>
        <v>46.770833333333343</v>
      </c>
      <c r="N42" s="94">
        <f t="shared" si="8"/>
        <v>83.333333333333684</v>
      </c>
    </row>
    <row r="43" spans="1:14">
      <c r="A43" s="92">
        <v>23</v>
      </c>
      <c r="B43" s="93">
        <f t="shared" si="4"/>
        <v>44079</v>
      </c>
      <c r="C43" s="94">
        <f t="shared" si="10"/>
        <v>41.666666666666664</v>
      </c>
      <c r="D43" s="94">
        <f t="shared" si="1"/>
        <v>3.4027777777777923</v>
      </c>
      <c r="E43" s="94">
        <f t="shared" si="5"/>
        <v>0</v>
      </c>
      <c r="F43" s="94">
        <f t="shared" si="6"/>
        <v>0</v>
      </c>
      <c r="G43" s="94">
        <v>0</v>
      </c>
      <c r="H43" s="94">
        <f t="shared" si="7"/>
        <v>45.069444444444457</v>
      </c>
      <c r="I43" s="94">
        <f t="shared" si="2"/>
        <v>6.9444444444444438</v>
      </c>
      <c r="J43" s="94"/>
      <c r="K43" s="94"/>
      <c r="L43" s="94"/>
      <c r="M43" s="95">
        <f t="shared" si="3"/>
        <v>45.069444444444457</v>
      </c>
      <c r="N43" s="94">
        <f t="shared" si="8"/>
        <v>41.66666666666702</v>
      </c>
    </row>
    <row r="44" spans="1:14">
      <c r="A44" s="92">
        <v>24</v>
      </c>
      <c r="B44" s="93">
        <f t="shared" si="4"/>
        <v>44109</v>
      </c>
      <c r="C44" s="94">
        <f t="shared" si="10"/>
        <v>41.666666666666664</v>
      </c>
      <c r="D44" s="94">
        <f t="shared" si="1"/>
        <v>1.7013888888889033</v>
      </c>
      <c r="E44" s="94">
        <f t="shared" si="5"/>
        <v>0</v>
      </c>
      <c r="F44" s="94">
        <f t="shared" si="6"/>
        <v>0</v>
      </c>
      <c r="G44" s="94">
        <v>0</v>
      </c>
      <c r="H44" s="94">
        <f t="shared" si="7"/>
        <v>43.368055555555564</v>
      </c>
      <c r="I44" s="94">
        <f t="shared" si="2"/>
        <v>6.9444444444444438</v>
      </c>
      <c r="J44" s="94"/>
      <c r="K44" s="94"/>
      <c r="L44" s="94"/>
      <c r="M44" s="95">
        <f t="shared" si="3"/>
        <v>43.368055555555564</v>
      </c>
      <c r="N44" s="94">
        <f t="shared" si="8"/>
        <v>3.5527136788005009E-13</v>
      </c>
    </row>
    <row r="45" spans="1:14">
      <c r="A45" s="92">
        <v>25</v>
      </c>
      <c r="B45" s="93">
        <f t="shared" si="4"/>
        <v>44140</v>
      </c>
      <c r="C45" s="94">
        <f t="shared" ref="C45:C104" si="11">IF(A45&lt;=$F$7,(IF($F$6&lt;=40%,IF($F$9=$I$6,(-$C$20-$F$5*$K$14)/$F$7+IF(A45=$F$7,$F$5*$K$14,0),MINA(((N44-$F$5*$K$14)/($F$7-A45+1)*$F$10),(N44-$F$5*$K$14))+IF(A45=$F$7,$F$5*$K$14,0)),IF(A45=1,F30*(F31-40%),IF($F$9=$I$6,(-$C$20-$F$5*$K$14)/$F$7+IF(A45=$F$7,$F$5*$K$14,0),MINA(((N44-$F$5*$K$14)/($F$7-A45+1)*$F$10),(N44-$F$5*$K$14))+IF(A45=$F$7,$F$5*$K$14,0))))),0)</f>
        <v>0</v>
      </c>
      <c r="D45" s="94">
        <f t="shared" si="1"/>
        <v>0</v>
      </c>
      <c r="E45" s="94">
        <f t="shared" si="5"/>
        <v>0</v>
      </c>
      <c r="F45" s="94">
        <f t="shared" si="6"/>
        <v>0</v>
      </c>
      <c r="G45" s="94">
        <f t="shared" ref="G45:G104" si="12">IF(A45&lt;=$F$7,$F$5*VLOOKUP(ROUNDUP(A45/12,0),$O$7:$R$14,4,0)/12,0)-F45</f>
        <v>0</v>
      </c>
      <c r="H45" s="94">
        <f t="shared" si="7"/>
        <v>0</v>
      </c>
      <c r="I45" s="94">
        <f t="shared" si="2"/>
        <v>0</v>
      </c>
      <c r="J45" s="94"/>
      <c r="K45" s="94"/>
      <c r="L45" s="94"/>
      <c r="M45" s="95">
        <f t="shared" si="3"/>
        <v>0</v>
      </c>
      <c r="N45" s="94">
        <f t="shared" si="8"/>
        <v>3.5527136788005009E-13</v>
      </c>
    </row>
    <row r="46" spans="1:14">
      <c r="A46" s="92">
        <v>26</v>
      </c>
      <c r="B46" s="93">
        <f t="shared" si="4"/>
        <v>44170</v>
      </c>
      <c r="C46" s="94">
        <f t="shared" si="11"/>
        <v>0</v>
      </c>
      <c r="D46" s="94">
        <f t="shared" si="1"/>
        <v>0</v>
      </c>
      <c r="E46" s="94">
        <f t="shared" si="5"/>
        <v>0</v>
      </c>
      <c r="F46" s="94">
        <f t="shared" si="6"/>
        <v>0</v>
      </c>
      <c r="G46" s="94">
        <f t="shared" si="12"/>
        <v>0</v>
      </c>
      <c r="H46" s="94">
        <f t="shared" si="7"/>
        <v>0</v>
      </c>
      <c r="I46" s="94">
        <f t="shared" si="2"/>
        <v>0</v>
      </c>
      <c r="J46" s="94"/>
      <c r="K46" s="94"/>
      <c r="L46" s="94"/>
      <c r="M46" s="95">
        <f t="shared" si="3"/>
        <v>0</v>
      </c>
      <c r="N46" s="94">
        <f t="shared" si="8"/>
        <v>3.5527136788005009E-13</v>
      </c>
    </row>
    <row r="47" spans="1:14">
      <c r="A47" s="92">
        <v>27</v>
      </c>
      <c r="B47" s="93">
        <f t="shared" si="4"/>
        <v>44201</v>
      </c>
      <c r="C47" s="94">
        <f t="shared" si="11"/>
        <v>0</v>
      </c>
      <c r="D47" s="94">
        <f t="shared" si="1"/>
        <v>0</v>
      </c>
      <c r="E47" s="94">
        <f t="shared" si="5"/>
        <v>0</v>
      </c>
      <c r="F47" s="94">
        <f t="shared" si="6"/>
        <v>0</v>
      </c>
      <c r="G47" s="94">
        <f t="shared" si="12"/>
        <v>0</v>
      </c>
      <c r="H47" s="94">
        <f t="shared" si="7"/>
        <v>0</v>
      </c>
      <c r="I47" s="94">
        <f t="shared" si="2"/>
        <v>0</v>
      </c>
      <c r="J47" s="94"/>
      <c r="K47" s="94"/>
      <c r="L47" s="94"/>
      <c r="M47" s="95">
        <f t="shared" si="3"/>
        <v>0</v>
      </c>
      <c r="N47" s="94">
        <f t="shared" si="8"/>
        <v>3.5527136788005009E-13</v>
      </c>
    </row>
    <row r="48" spans="1:14">
      <c r="A48" s="92">
        <v>28</v>
      </c>
      <c r="B48" s="93">
        <f t="shared" si="4"/>
        <v>44232</v>
      </c>
      <c r="C48" s="94">
        <f t="shared" si="11"/>
        <v>0</v>
      </c>
      <c r="D48" s="94">
        <f t="shared" si="1"/>
        <v>0</v>
      </c>
      <c r="E48" s="94">
        <f t="shared" si="5"/>
        <v>0</v>
      </c>
      <c r="F48" s="94">
        <f t="shared" si="6"/>
        <v>0</v>
      </c>
      <c r="G48" s="94">
        <f t="shared" si="12"/>
        <v>0</v>
      </c>
      <c r="H48" s="94">
        <f t="shared" si="7"/>
        <v>0</v>
      </c>
      <c r="I48" s="94">
        <f t="shared" si="2"/>
        <v>0</v>
      </c>
      <c r="J48" s="94"/>
      <c r="K48" s="94"/>
      <c r="L48" s="94"/>
      <c r="M48" s="95">
        <f t="shared" si="3"/>
        <v>0</v>
      </c>
      <c r="N48" s="94">
        <f t="shared" si="8"/>
        <v>3.5527136788005009E-13</v>
      </c>
    </row>
    <row r="49" spans="1:14">
      <c r="A49" s="92">
        <v>29</v>
      </c>
      <c r="B49" s="93">
        <f t="shared" si="4"/>
        <v>44260</v>
      </c>
      <c r="C49" s="94">
        <f t="shared" si="11"/>
        <v>0</v>
      </c>
      <c r="D49" s="94">
        <f t="shared" si="1"/>
        <v>0</v>
      </c>
      <c r="E49" s="94">
        <f t="shared" si="5"/>
        <v>0</v>
      </c>
      <c r="F49" s="94">
        <f t="shared" si="6"/>
        <v>0</v>
      </c>
      <c r="G49" s="94">
        <f t="shared" si="12"/>
        <v>0</v>
      </c>
      <c r="H49" s="94">
        <f t="shared" si="7"/>
        <v>0</v>
      </c>
      <c r="I49" s="94">
        <f t="shared" si="2"/>
        <v>0</v>
      </c>
      <c r="J49" s="94"/>
      <c r="K49" s="94"/>
      <c r="L49" s="94"/>
      <c r="M49" s="95">
        <f t="shared" si="3"/>
        <v>0</v>
      </c>
      <c r="N49" s="94">
        <f t="shared" si="8"/>
        <v>3.5527136788005009E-13</v>
      </c>
    </row>
    <row r="50" spans="1:14">
      <c r="A50" s="92">
        <v>30</v>
      </c>
      <c r="B50" s="93">
        <f t="shared" si="4"/>
        <v>44291</v>
      </c>
      <c r="C50" s="94">
        <f t="shared" si="11"/>
        <v>0</v>
      </c>
      <c r="D50" s="94">
        <f t="shared" si="1"/>
        <v>0</v>
      </c>
      <c r="E50" s="94">
        <f t="shared" si="5"/>
        <v>0</v>
      </c>
      <c r="F50" s="94">
        <f t="shared" si="6"/>
        <v>0</v>
      </c>
      <c r="G50" s="94">
        <f t="shared" si="12"/>
        <v>0</v>
      </c>
      <c r="H50" s="94">
        <f t="shared" si="7"/>
        <v>0</v>
      </c>
      <c r="I50" s="94">
        <f t="shared" si="2"/>
        <v>0</v>
      </c>
      <c r="J50" s="94"/>
      <c r="K50" s="94"/>
      <c r="L50" s="94"/>
      <c r="M50" s="95">
        <f t="shared" si="3"/>
        <v>0</v>
      </c>
      <c r="N50" s="94">
        <f t="shared" si="8"/>
        <v>3.5527136788005009E-13</v>
      </c>
    </row>
    <row r="51" spans="1:14">
      <c r="A51" s="92">
        <v>31</v>
      </c>
      <c r="B51" s="93">
        <f t="shared" si="4"/>
        <v>44321</v>
      </c>
      <c r="C51" s="94">
        <f t="shared" si="11"/>
        <v>0</v>
      </c>
      <c r="D51" s="94">
        <f t="shared" si="1"/>
        <v>0</v>
      </c>
      <c r="E51" s="94">
        <f t="shared" si="5"/>
        <v>0</v>
      </c>
      <c r="F51" s="94">
        <f t="shared" si="6"/>
        <v>0</v>
      </c>
      <c r="G51" s="94">
        <f t="shared" si="12"/>
        <v>0</v>
      </c>
      <c r="H51" s="94">
        <f t="shared" si="7"/>
        <v>0</v>
      </c>
      <c r="I51" s="94">
        <f t="shared" si="2"/>
        <v>0</v>
      </c>
      <c r="J51" s="94"/>
      <c r="K51" s="94"/>
      <c r="L51" s="94"/>
      <c r="M51" s="95">
        <f t="shared" si="3"/>
        <v>0</v>
      </c>
      <c r="N51" s="94">
        <f t="shared" si="8"/>
        <v>3.5527136788005009E-13</v>
      </c>
    </row>
    <row r="52" spans="1:14">
      <c r="A52" s="92">
        <v>32</v>
      </c>
      <c r="B52" s="93">
        <f t="shared" si="4"/>
        <v>44352</v>
      </c>
      <c r="C52" s="94">
        <f t="shared" si="11"/>
        <v>0</v>
      </c>
      <c r="D52" s="94">
        <f t="shared" si="1"/>
        <v>0</v>
      </c>
      <c r="E52" s="94">
        <f t="shared" si="5"/>
        <v>0</v>
      </c>
      <c r="F52" s="94">
        <f t="shared" si="6"/>
        <v>0</v>
      </c>
      <c r="G52" s="94">
        <f t="shared" si="12"/>
        <v>0</v>
      </c>
      <c r="H52" s="94">
        <f t="shared" si="7"/>
        <v>0</v>
      </c>
      <c r="I52" s="94">
        <f t="shared" si="2"/>
        <v>0</v>
      </c>
      <c r="J52" s="94"/>
      <c r="K52" s="94"/>
      <c r="L52" s="94"/>
      <c r="M52" s="95">
        <f t="shared" si="3"/>
        <v>0</v>
      </c>
      <c r="N52" s="94">
        <f t="shared" si="8"/>
        <v>3.5527136788005009E-13</v>
      </c>
    </row>
    <row r="53" spans="1:14">
      <c r="A53" s="92">
        <v>33</v>
      </c>
      <c r="B53" s="93">
        <f t="shared" si="4"/>
        <v>44382</v>
      </c>
      <c r="C53" s="94">
        <f t="shared" si="11"/>
        <v>0</v>
      </c>
      <c r="D53" s="94">
        <f t="shared" si="1"/>
        <v>0</v>
      </c>
      <c r="E53" s="94">
        <f t="shared" si="5"/>
        <v>0</v>
      </c>
      <c r="F53" s="94">
        <f t="shared" si="6"/>
        <v>0</v>
      </c>
      <c r="G53" s="94">
        <f t="shared" si="12"/>
        <v>0</v>
      </c>
      <c r="H53" s="94">
        <f t="shared" si="7"/>
        <v>0</v>
      </c>
      <c r="I53" s="94">
        <f t="shared" si="2"/>
        <v>0</v>
      </c>
      <c r="J53" s="94"/>
      <c r="K53" s="94"/>
      <c r="L53" s="94"/>
      <c r="M53" s="95">
        <f t="shared" si="3"/>
        <v>0</v>
      </c>
      <c r="N53" s="94">
        <f t="shared" si="8"/>
        <v>3.5527136788005009E-13</v>
      </c>
    </row>
    <row r="54" spans="1:14">
      <c r="A54" s="92">
        <v>34</v>
      </c>
      <c r="B54" s="93">
        <f t="shared" si="4"/>
        <v>44413</v>
      </c>
      <c r="C54" s="94">
        <f t="shared" si="11"/>
        <v>0</v>
      </c>
      <c r="D54" s="94">
        <f t="shared" si="1"/>
        <v>0</v>
      </c>
      <c r="E54" s="94">
        <f t="shared" si="5"/>
        <v>0</v>
      </c>
      <c r="F54" s="94">
        <f t="shared" si="6"/>
        <v>0</v>
      </c>
      <c r="G54" s="94">
        <f t="shared" si="12"/>
        <v>0</v>
      </c>
      <c r="H54" s="94">
        <f t="shared" si="7"/>
        <v>0</v>
      </c>
      <c r="I54" s="94">
        <f t="shared" si="2"/>
        <v>0</v>
      </c>
      <c r="J54" s="94"/>
      <c r="K54" s="94"/>
      <c r="L54" s="94"/>
      <c r="M54" s="95">
        <f t="shared" si="3"/>
        <v>0</v>
      </c>
      <c r="N54" s="94">
        <f t="shared" si="8"/>
        <v>3.5527136788005009E-13</v>
      </c>
    </row>
    <row r="55" spans="1:14">
      <c r="A55" s="92">
        <v>35</v>
      </c>
      <c r="B55" s="93">
        <f t="shared" si="4"/>
        <v>44444</v>
      </c>
      <c r="C55" s="94">
        <f t="shared" si="11"/>
        <v>0</v>
      </c>
      <c r="D55" s="94">
        <f t="shared" si="1"/>
        <v>0</v>
      </c>
      <c r="E55" s="94">
        <f t="shared" si="5"/>
        <v>0</v>
      </c>
      <c r="F55" s="94">
        <f t="shared" si="6"/>
        <v>0</v>
      </c>
      <c r="G55" s="94">
        <f t="shared" si="12"/>
        <v>0</v>
      </c>
      <c r="H55" s="94">
        <f t="shared" si="7"/>
        <v>0</v>
      </c>
      <c r="I55" s="94">
        <f t="shared" si="2"/>
        <v>0</v>
      </c>
      <c r="J55" s="94"/>
      <c r="K55" s="94"/>
      <c r="L55" s="94"/>
      <c r="M55" s="95">
        <f t="shared" si="3"/>
        <v>0</v>
      </c>
      <c r="N55" s="94">
        <f t="shared" si="8"/>
        <v>3.5527136788005009E-13</v>
      </c>
    </row>
    <row r="56" spans="1:14">
      <c r="A56" s="92">
        <v>36</v>
      </c>
      <c r="B56" s="93">
        <f t="shared" si="4"/>
        <v>44474</v>
      </c>
      <c r="C56" s="94">
        <f t="shared" si="11"/>
        <v>0</v>
      </c>
      <c r="D56" s="94">
        <f t="shared" si="1"/>
        <v>0</v>
      </c>
      <c r="E56" s="94">
        <f t="shared" si="5"/>
        <v>0</v>
      </c>
      <c r="F56" s="94">
        <f t="shared" si="6"/>
        <v>0</v>
      </c>
      <c r="G56" s="94">
        <f t="shared" si="12"/>
        <v>0</v>
      </c>
      <c r="H56" s="94">
        <f t="shared" si="7"/>
        <v>0</v>
      </c>
      <c r="I56" s="94">
        <f t="shared" si="2"/>
        <v>0</v>
      </c>
      <c r="J56" s="94"/>
      <c r="K56" s="94"/>
      <c r="L56" s="94"/>
      <c r="M56" s="95">
        <f t="shared" si="3"/>
        <v>0</v>
      </c>
      <c r="N56" s="94">
        <f t="shared" si="8"/>
        <v>3.5527136788005009E-13</v>
      </c>
    </row>
    <row r="57" spans="1:14">
      <c r="A57" s="92">
        <v>37</v>
      </c>
      <c r="B57" s="93">
        <f t="shared" si="4"/>
        <v>44505</v>
      </c>
      <c r="C57" s="94">
        <f t="shared" si="11"/>
        <v>0</v>
      </c>
      <c r="D57" s="94">
        <f t="shared" si="1"/>
        <v>0</v>
      </c>
      <c r="E57" s="94">
        <f t="shared" si="5"/>
        <v>0</v>
      </c>
      <c r="F57" s="94">
        <f t="shared" si="6"/>
        <v>0</v>
      </c>
      <c r="G57" s="94">
        <f t="shared" si="12"/>
        <v>0</v>
      </c>
      <c r="H57" s="94">
        <f t="shared" si="7"/>
        <v>0</v>
      </c>
      <c r="I57" s="94">
        <f t="shared" si="2"/>
        <v>0</v>
      </c>
      <c r="J57" s="94"/>
      <c r="K57" s="94"/>
      <c r="L57" s="94"/>
      <c r="M57" s="95">
        <f t="shared" si="3"/>
        <v>0</v>
      </c>
      <c r="N57" s="94">
        <f t="shared" si="8"/>
        <v>3.5527136788005009E-13</v>
      </c>
    </row>
    <row r="58" spans="1:14">
      <c r="A58" s="92">
        <v>38</v>
      </c>
      <c r="B58" s="93">
        <f t="shared" si="4"/>
        <v>44535</v>
      </c>
      <c r="C58" s="94">
        <f t="shared" si="11"/>
        <v>0</v>
      </c>
      <c r="D58" s="94">
        <f t="shared" si="1"/>
        <v>0</v>
      </c>
      <c r="E58" s="94">
        <f t="shared" si="5"/>
        <v>0</v>
      </c>
      <c r="F58" s="94">
        <f t="shared" si="6"/>
        <v>0</v>
      </c>
      <c r="G58" s="94">
        <f t="shared" si="12"/>
        <v>0</v>
      </c>
      <c r="H58" s="94">
        <f t="shared" si="7"/>
        <v>0</v>
      </c>
      <c r="I58" s="94">
        <f t="shared" si="2"/>
        <v>0</v>
      </c>
      <c r="J58" s="94"/>
      <c r="K58" s="94"/>
      <c r="L58" s="94"/>
      <c r="M58" s="95">
        <f t="shared" si="3"/>
        <v>0</v>
      </c>
      <c r="N58" s="94">
        <f t="shared" si="8"/>
        <v>3.5527136788005009E-13</v>
      </c>
    </row>
    <row r="59" spans="1:14">
      <c r="A59" s="92">
        <v>39</v>
      </c>
      <c r="B59" s="93">
        <f t="shared" si="4"/>
        <v>44566</v>
      </c>
      <c r="C59" s="94">
        <f t="shared" si="11"/>
        <v>0</v>
      </c>
      <c r="D59" s="94">
        <f t="shared" si="1"/>
        <v>0</v>
      </c>
      <c r="E59" s="94">
        <f t="shared" si="5"/>
        <v>0</v>
      </c>
      <c r="F59" s="94">
        <f t="shared" si="6"/>
        <v>0</v>
      </c>
      <c r="G59" s="94">
        <f t="shared" si="12"/>
        <v>0</v>
      </c>
      <c r="H59" s="94">
        <f t="shared" si="7"/>
        <v>0</v>
      </c>
      <c r="I59" s="94">
        <f t="shared" si="2"/>
        <v>0</v>
      </c>
      <c r="J59" s="94"/>
      <c r="K59" s="94"/>
      <c r="L59" s="94"/>
      <c r="M59" s="95">
        <f t="shared" si="3"/>
        <v>0</v>
      </c>
      <c r="N59" s="94">
        <f t="shared" si="8"/>
        <v>3.5527136788005009E-13</v>
      </c>
    </row>
    <row r="60" spans="1:14">
      <c r="A60" s="92">
        <v>40</v>
      </c>
      <c r="B60" s="93">
        <f t="shared" si="4"/>
        <v>44597</v>
      </c>
      <c r="C60" s="94">
        <f t="shared" si="11"/>
        <v>0</v>
      </c>
      <c r="D60" s="94">
        <f t="shared" si="1"/>
        <v>0</v>
      </c>
      <c r="E60" s="94">
        <f t="shared" si="5"/>
        <v>0</v>
      </c>
      <c r="F60" s="94">
        <f t="shared" si="6"/>
        <v>0</v>
      </c>
      <c r="G60" s="94">
        <f t="shared" si="12"/>
        <v>0</v>
      </c>
      <c r="H60" s="94">
        <f t="shared" si="7"/>
        <v>0</v>
      </c>
      <c r="I60" s="94">
        <f t="shared" si="2"/>
        <v>0</v>
      </c>
      <c r="J60" s="94"/>
      <c r="K60" s="94"/>
      <c r="L60" s="94"/>
      <c r="M60" s="95">
        <f t="shared" si="3"/>
        <v>0</v>
      </c>
      <c r="N60" s="94">
        <f t="shared" si="8"/>
        <v>3.5527136788005009E-13</v>
      </c>
    </row>
    <row r="61" spans="1:14">
      <c r="A61" s="92">
        <v>41</v>
      </c>
      <c r="B61" s="93">
        <f t="shared" si="4"/>
        <v>44625</v>
      </c>
      <c r="C61" s="94">
        <f t="shared" si="11"/>
        <v>0</v>
      </c>
      <c r="D61" s="94">
        <f t="shared" si="1"/>
        <v>0</v>
      </c>
      <c r="E61" s="94">
        <f t="shared" si="5"/>
        <v>0</v>
      </c>
      <c r="F61" s="94">
        <f t="shared" si="6"/>
        <v>0</v>
      </c>
      <c r="G61" s="94">
        <f t="shared" si="12"/>
        <v>0</v>
      </c>
      <c r="H61" s="94">
        <f t="shared" si="7"/>
        <v>0</v>
      </c>
      <c r="I61" s="94">
        <f t="shared" si="2"/>
        <v>0</v>
      </c>
      <c r="J61" s="94"/>
      <c r="K61" s="94"/>
      <c r="L61" s="94"/>
      <c r="M61" s="95">
        <f t="shared" si="3"/>
        <v>0</v>
      </c>
      <c r="N61" s="94">
        <f t="shared" si="8"/>
        <v>3.5527136788005009E-13</v>
      </c>
    </row>
    <row r="62" spans="1:14">
      <c r="A62" s="92">
        <v>42</v>
      </c>
      <c r="B62" s="93">
        <f t="shared" si="4"/>
        <v>44656</v>
      </c>
      <c r="C62" s="94">
        <f t="shared" si="11"/>
        <v>0</v>
      </c>
      <c r="D62" s="94">
        <f t="shared" si="1"/>
        <v>0</v>
      </c>
      <c r="E62" s="94">
        <f t="shared" si="5"/>
        <v>0</v>
      </c>
      <c r="F62" s="94">
        <f t="shared" si="6"/>
        <v>0</v>
      </c>
      <c r="G62" s="94">
        <f t="shared" si="12"/>
        <v>0</v>
      </c>
      <c r="H62" s="94">
        <f t="shared" si="7"/>
        <v>0</v>
      </c>
      <c r="I62" s="94">
        <f t="shared" si="2"/>
        <v>0</v>
      </c>
      <c r="J62" s="94"/>
      <c r="K62" s="94"/>
      <c r="L62" s="94"/>
      <c r="M62" s="95">
        <f t="shared" si="3"/>
        <v>0</v>
      </c>
      <c r="N62" s="94">
        <f t="shared" si="8"/>
        <v>3.5527136788005009E-13</v>
      </c>
    </row>
    <row r="63" spans="1:14">
      <c r="A63" s="92">
        <v>43</v>
      </c>
      <c r="B63" s="93">
        <f t="shared" si="4"/>
        <v>44686</v>
      </c>
      <c r="C63" s="94">
        <f t="shared" si="11"/>
        <v>0</v>
      </c>
      <c r="D63" s="94">
        <f t="shared" si="1"/>
        <v>0</v>
      </c>
      <c r="E63" s="94">
        <f t="shared" si="5"/>
        <v>0</v>
      </c>
      <c r="F63" s="94">
        <f t="shared" si="6"/>
        <v>0</v>
      </c>
      <c r="G63" s="94">
        <f t="shared" si="12"/>
        <v>0</v>
      </c>
      <c r="H63" s="94">
        <f t="shared" si="7"/>
        <v>0</v>
      </c>
      <c r="I63" s="94">
        <f t="shared" si="2"/>
        <v>0</v>
      </c>
      <c r="J63" s="94"/>
      <c r="K63" s="94"/>
      <c r="L63" s="94"/>
      <c r="M63" s="95">
        <f t="shared" si="3"/>
        <v>0</v>
      </c>
      <c r="N63" s="94">
        <f t="shared" si="8"/>
        <v>3.5527136788005009E-13</v>
      </c>
    </row>
    <row r="64" spans="1:14">
      <c r="A64" s="92">
        <v>44</v>
      </c>
      <c r="B64" s="93">
        <f t="shared" si="4"/>
        <v>44717</v>
      </c>
      <c r="C64" s="94">
        <f t="shared" si="11"/>
        <v>0</v>
      </c>
      <c r="D64" s="94">
        <f t="shared" si="1"/>
        <v>0</v>
      </c>
      <c r="E64" s="94">
        <f t="shared" si="5"/>
        <v>0</v>
      </c>
      <c r="F64" s="94">
        <f t="shared" si="6"/>
        <v>0</v>
      </c>
      <c r="G64" s="94">
        <f t="shared" si="12"/>
        <v>0</v>
      </c>
      <c r="H64" s="94">
        <f t="shared" si="7"/>
        <v>0</v>
      </c>
      <c r="I64" s="94">
        <f t="shared" si="2"/>
        <v>0</v>
      </c>
      <c r="J64" s="94"/>
      <c r="K64" s="94"/>
      <c r="L64" s="94"/>
      <c r="M64" s="95">
        <f t="shared" si="3"/>
        <v>0</v>
      </c>
      <c r="N64" s="94">
        <f t="shared" si="8"/>
        <v>3.5527136788005009E-13</v>
      </c>
    </row>
    <row r="65" spans="1:14">
      <c r="A65" s="92">
        <v>45</v>
      </c>
      <c r="B65" s="93">
        <f t="shared" si="4"/>
        <v>44747</v>
      </c>
      <c r="C65" s="94">
        <f t="shared" si="11"/>
        <v>0</v>
      </c>
      <c r="D65" s="94">
        <f t="shared" si="1"/>
        <v>0</v>
      </c>
      <c r="E65" s="94">
        <f t="shared" si="5"/>
        <v>0</v>
      </c>
      <c r="F65" s="94">
        <f t="shared" si="6"/>
        <v>0</v>
      </c>
      <c r="G65" s="94">
        <f t="shared" si="12"/>
        <v>0</v>
      </c>
      <c r="H65" s="94">
        <f t="shared" si="7"/>
        <v>0</v>
      </c>
      <c r="I65" s="94">
        <f t="shared" si="2"/>
        <v>0</v>
      </c>
      <c r="J65" s="94"/>
      <c r="K65" s="94"/>
      <c r="L65" s="94"/>
      <c r="M65" s="95">
        <f t="shared" si="3"/>
        <v>0</v>
      </c>
      <c r="N65" s="94">
        <f t="shared" si="8"/>
        <v>3.5527136788005009E-13</v>
      </c>
    </row>
    <row r="66" spans="1:14">
      <c r="A66" s="92">
        <v>46</v>
      </c>
      <c r="B66" s="93">
        <f t="shared" si="4"/>
        <v>44778</v>
      </c>
      <c r="C66" s="94">
        <f t="shared" si="11"/>
        <v>0</v>
      </c>
      <c r="D66" s="94">
        <f t="shared" si="1"/>
        <v>0</v>
      </c>
      <c r="E66" s="94">
        <f t="shared" si="5"/>
        <v>0</v>
      </c>
      <c r="F66" s="94">
        <f t="shared" si="6"/>
        <v>0</v>
      </c>
      <c r="G66" s="94">
        <f t="shared" si="12"/>
        <v>0</v>
      </c>
      <c r="H66" s="94">
        <f t="shared" si="7"/>
        <v>0</v>
      </c>
      <c r="I66" s="94">
        <f t="shared" si="2"/>
        <v>0</v>
      </c>
      <c r="J66" s="94"/>
      <c r="K66" s="94"/>
      <c r="L66" s="94"/>
      <c r="M66" s="95">
        <f t="shared" si="3"/>
        <v>0</v>
      </c>
      <c r="N66" s="94">
        <f t="shared" si="8"/>
        <v>3.5527136788005009E-13</v>
      </c>
    </row>
    <row r="67" spans="1:14">
      <c r="A67" s="92">
        <v>47</v>
      </c>
      <c r="B67" s="93">
        <f t="shared" si="4"/>
        <v>44809</v>
      </c>
      <c r="C67" s="94">
        <f t="shared" si="11"/>
        <v>0</v>
      </c>
      <c r="D67" s="94">
        <f t="shared" si="1"/>
        <v>0</v>
      </c>
      <c r="E67" s="94">
        <f t="shared" si="5"/>
        <v>0</v>
      </c>
      <c r="F67" s="94">
        <f t="shared" si="6"/>
        <v>0</v>
      </c>
      <c r="G67" s="94">
        <f t="shared" si="12"/>
        <v>0</v>
      </c>
      <c r="H67" s="94">
        <f t="shared" si="7"/>
        <v>0</v>
      </c>
      <c r="I67" s="94">
        <f t="shared" si="2"/>
        <v>0</v>
      </c>
      <c r="J67" s="94"/>
      <c r="K67" s="94"/>
      <c r="L67" s="94"/>
      <c r="M67" s="95">
        <f t="shared" si="3"/>
        <v>0</v>
      </c>
      <c r="N67" s="94">
        <f t="shared" si="8"/>
        <v>3.5527136788005009E-13</v>
      </c>
    </row>
    <row r="68" spans="1:14">
      <c r="A68" s="92">
        <v>48</v>
      </c>
      <c r="B68" s="93">
        <f t="shared" si="4"/>
        <v>44839</v>
      </c>
      <c r="C68" s="94">
        <f t="shared" si="11"/>
        <v>0</v>
      </c>
      <c r="D68" s="94">
        <f t="shared" si="1"/>
        <v>0</v>
      </c>
      <c r="E68" s="94">
        <f t="shared" si="5"/>
        <v>0</v>
      </c>
      <c r="F68" s="94">
        <f t="shared" si="6"/>
        <v>0</v>
      </c>
      <c r="G68" s="94">
        <f t="shared" si="12"/>
        <v>0</v>
      </c>
      <c r="H68" s="94">
        <f t="shared" si="7"/>
        <v>0</v>
      </c>
      <c r="I68" s="94">
        <f t="shared" si="2"/>
        <v>0</v>
      </c>
      <c r="J68" s="94"/>
      <c r="K68" s="94"/>
      <c r="L68" s="94"/>
      <c r="M68" s="95">
        <f t="shared" si="3"/>
        <v>0</v>
      </c>
      <c r="N68" s="94">
        <f t="shared" si="8"/>
        <v>3.5527136788005009E-13</v>
      </c>
    </row>
    <row r="69" spans="1:14">
      <c r="A69" s="92">
        <v>49</v>
      </c>
      <c r="B69" s="93">
        <f t="shared" si="4"/>
        <v>44870</v>
      </c>
      <c r="C69" s="94">
        <f t="shared" si="11"/>
        <v>0</v>
      </c>
      <c r="D69" s="94">
        <f t="shared" si="1"/>
        <v>0</v>
      </c>
      <c r="E69" s="94">
        <f t="shared" si="5"/>
        <v>0</v>
      </c>
      <c r="F69" s="94">
        <f t="shared" si="6"/>
        <v>0</v>
      </c>
      <c r="G69" s="94">
        <f t="shared" si="12"/>
        <v>0</v>
      </c>
      <c r="H69" s="94">
        <f t="shared" si="7"/>
        <v>0</v>
      </c>
      <c r="I69" s="94">
        <f t="shared" si="2"/>
        <v>0</v>
      </c>
      <c r="J69" s="94"/>
      <c r="K69" s="94"/>
      <c r="L69" s="94"/>
      <c r="M69" s="95">
        <f t="shared" si="3"/>
        <v>0</v>
      </c>
      <c r="N69" s="94">
        <f t="shared" si="8"/>
        <v>3.5527136788005009E-13</v>
      </c>
    </row>
    <row r="70" spans="1:14">
      <c r="A70" s="92">
        <v>50</v>
      </c>
      <c r="B70" s="93">
        <f t="shared" si="4"/>
        <v>44900</v>
      </c>
      <c r="C70" s="94">
        <f t="shared" si="11"/>
        <v>0</v>
      </c>
      <c r="D70" s="94">
        <f t="shared" si="1"/>
        <v>0</v>
      </c>
      <c r="E70" s="94">
        <f t="shared" si="5"/>
        <v>0</v>
      </c>
      <c r="F70" s="94">
        <f t="shared" si="6"/>
        <v>0</v>
      </c>
      <c r="G70" s="94">
        <f t="shared" si="12"/>
        <v>0</v>
      </c>
      <c r="H70" s="94">
        <f t="shared" si="7"/>
        <v>0</v>
      </c>
      <c r="I70" s="94">
        <f t="shared" si="2"/>
        <v>0</v>
      </c>
      <c r="J70" s="94"/>
      <c r="K70" s="94"/>
      <c r="L70" s="94"/>
      <c r="M70" s="95">
        <f t="shared" si="3"/>
        <v>0</v>
      </c>
      <c r="N70" s="94">
        <f t="shared" si="8"/>
        <v>3.5527136788005009E-13</v>
      </c>
    </row>
    <row r="71" spans="1:14">
      <c r="A71" s="92">
        <v>51</v>
      </c>
      <c r="B71" s="93">
        <f t="shared" si="4"/>
        <v>44931</v>
      </c>
      <c r="C71" s="94">
        <f t="shared" si="11"/>
        <v>0</v>
      </c>
      <c r="D71" s="94">
        <f t="shared" si="1"/>
        <v>0</v>
      </c>
      <c r="E71" s="94">
        <f t="shared" si="5"/>
        <v>0</v>
      </c>
      <c r="F71" s="94">
        <f t="shared" si="6"/>
        <v>0</v>
      </c>
      <c r="G71" s="94">
        <f t="shared" si="12"/>
        <v>0</v>
      </c>
      <c r="H71" s="94">
        <f t="shared" si="7"/>
        <v>0</v>
      </c>
      <c r="I71" s="94">
        <f t="shared" si="2"/>
        <v>0</v>
      </c>
      <c r="J71" s="94"/>
      <c r="K71" s="94"/>
      <c r="L71" s="94"/>
      <c r="M71" s="95">
        <f t="shared" si="3"/>
        <v>0</v>
      </c>
      <c r="N71" s="94">
        <f t="shared" si="8"/>
        <v>3.5527136788005009E-13</v>
      </c>
    </row>
    <row r="72" spans="1:14">
      <c r="A72" s="92">
        <v>52</v>
      </c>
      <c r="B72" s="93">
        <f t="shared" si="4"/>
        <v>44962</v>
      </c>
      <c r="C72" s="94">
        <f t="shared" si="11"/>
        <v>0</v>
      </c>
      <c r="D72" s="94">
        <f t="shared" si="1"/>
        <v>0</v>
      </c>
      <c r="E72" s="94">
        <f t="shared" si="5"/>
        <v>0</v>
      </c>
      <c r="F72" s="94">
        <f t="shared" ref="F72:F104" si="13">IF(A72&lt;=$F$7,$F$5*VLOOKUP(ROUNDUP(A72/12,0),$O$7:$Q$14,3,0)/12,0)</f>
        <v>0</v>
      </c>
      <c r="G72" s="94">
        <f t="shared" si="12"/>
        <v>0</v>
      </c>
      <c r="H72" s="94">
        <f t="shared" si="7"/>
        <v>0</v>
      </c>
      <c r="I72" s="94">
        <f t="shared" si="2"/>
        <v>0</v>
      </c>
      <c r="J72" s="94"/>
      <c r="K72" s="94"/>
      <c r="L72" s="94">
        <v>0</v>
      </c>
      <c r="M72" s="95">
        <f t="shared" si="3"/>
        <v>0</v>
      </c>
      <c r="N72" s="94">
        <f t="shared" si="8"/>
        <v>3.5527136788005009E-13</v>
      </c>
    </row>
    <row r="73" spans="1:14">
      <c r="A73" s="92">
        <v>53</v>
      </c>
      <c r="B73" s="93">
        <f t="shared" si="4"/>
        <v>44990</v>
      </c>
      <c r="C73" s="94">
        <f t="shared" si="11"/>
        <v>0</v>
      </c>
      <c r="D73" s="94">
        <f t="shared" si="1"/>
        <v>0</v>
      </c>
      <c r="E73" s="94">
        <f t="shared" si="5"/>
        <v>0</v>
      </c>
      <c r="F73" s="94">
        <f t="shared" si="13"/>
        <v>0</v>
      </c>
      <c r="G73" s="94">
        <f t="shared" si="12"/>
        <v>0</v>
      </c>
      <c r="H73" s="94">
        <f t="shared" si="7"/>
        <v>0</v>
      </c>
      <c r="I73" s="94">
        <f t="shared" si="2"/>
        <v>0</v>
      </c>
      <c r="J73" s="94"/>
      <c r="K73" s="94"/>
      <c r="L73" s="94"/>
      <c r="M73" s="95">
        <f t="shared" si="3"/>
        <v>0</v>
      </c>
      <c r="N73" s="94">
        <f t="shared" si="8"/>
        <v>3.5527136788005009E-13</v>
      </c>
    </row>
    <row r="74" spans="1:14">
      <c r="A74" s="92">
        <v>54</v>
      </c>
      <c r="B74" s="93">
        <f t="shared" si="4"/>
        <v>45021</v>
      </c>
      <c r="C74" s="94">
        <f t="shared" si="11"/>
        <v>0</v>
      </c>
      <c r="D74" s="94">
        <f t="shared" si="1"/>
        <v>0</v>
      </c>
      <c r="E74" s="94">
        <f t="shared" si="5"/>
        <v>0</v>
      </c>
      <c r="F74" s="94">
        <f t="shared" si="13"/>
        <v>0</v>
      </c>
      <c r="G74" s="94">
        <f t="shared" si="12"/>
        <v>0</v>
      </c>
      <c r="H74" s="94">
        <f t="shared" si="7"/>
        <v>0</v>
      </c>
      <c r="I74" s="94">
        <f t="shared" si="2"/>
        <v>0</v>
      </c>
      <c r="J74" s="94"/>
      <c r="K74" s="94"/>
      <c r="L74" s="94"/>
      <c r="M74" s="95">
        <f t="shared" si="3"/>
        <v>0</v>
      </c>
      <c r="N74" s="94">
        <f t="shared" si="8"/>
        <v>3.5527136788005009E-13</v>
      </c>
    </row>
    <row r="75" spans="1:14">
      <c r="A75" s="92">
        <v>55</v>
      </c>
      <c r="B75" s="93">
        <f t="shared" si="4"/>
        <v>45051</v>
      </c>
      <c r="C75" s="94">
        <f t="shared" si="11"/>
        <v>0</v>
      </c>
      <c r="D75" s="94">
        <f t="shared" si="1"/>
        <v>0</v>
      </c>
      <c r="E75" s="94">
        <f t="shared" si="5"/>
        <v>0</v>
      </c>
      <c r="F75" s="94">
        <f t="shared" si="13"/>
        <v>0</v>
      </c>
      <c r="G75" s="94">
        <f t="shared" si="12"/>
        <v>0</v>
      </c>
      <c r="H75" s="94">
        <f t="shared" si="7"/>
        <v>0</v>
      </c>
      <c r="I75" s="94">
        <f t="shared" si="2"/>
        <v>0</v>
      </c>
      <c r="J75" s="94"/>
      <c r="K75" s="94"/>
      <c r="L75" s="94"/>
      <c r="M75" s="95">
        <f t="shared" si="3"/>
        <v>0</v>
      </c>
      <c r="N75" s="94">
        <f t="shared" si="8"/>
        <v>3.5527136788005009E-13</v>
      </c>
    </row>
    <row r="76" spans="1:14">
      <c r="A76" s="92">
        <v>56</v>
      </c>
      <c r="B76" s="93">
        <f t="shared" si="4"/>
        <v>45082</v>
      </c>
      <c r="C76" s="94">
        <f t="shared" si="11"/>
        <v>0</v>
      </c>
      <c r="D76" s="94">
        <f t="shared" si="1"/>
        <v>0</v>
      </c>
      <c r="E76" s="94">
        <f t="shared" si="5"/>
        <v>0</v>
      </c>
      <c r="F76" s="94">
        <f t="shared" si="13"/>
        <v>0</v>
      </c>
      <c r="G76" s="94">
        <f t="shared" si="12"/>
        <v>0</v>
      </c>
      <c r="H76" s="94">
        <f t="shared" si="7"/>
        <v>0</v>
      </c>
      <c r="I76" s="94">
        <f t="shared" si="2"/>
        <v>0</v>
      </c>
      <c r="J76" s="94"/>
      <c r="K76" s="94"/>
      <c r="L76" s="94"/>
      <c r="M76" s="95">
        <f t="shared" si="3"/>
        <v>0</v>
      </c>
      <c r="N76" s="94">
        <f t="shared" si="8"/>
        <v>3.5527136788005009E-13</v>
      </c>
    </row>
    <row r="77" spans="1:14">
      <c r="A77" s="92">
        <v>57</v>
      </c>
      <c r="B77" s="93">
        <f t="shared" si="4"/>
        <v>45112</v>
      </c>
      <c r="C77" s="94">
        <f t="shared" si="11"/>
        <v>0</v>
      </c>
      <c r="D77" s="94">
        <f t="shared" si="1"/>
        <v>0</v>
      </c>
      <c r="E77" s="94">
        <f t="shared" si="5"/>
        <v>0</v>
      </c>
      <c r="F77" s="94">
        <f t="shared" si="13"/>
        <v>0</v>
      </c>
      <c r="G77" s="94">
        <f t="shared" si="12"/>
        <v>0</v>
      </c>
      <c r="H77" s="94">
        <f t="shared" si="7"/>
        <v>0</v>
      </c>
      <c r="I77" s="94">
        <f t="shared" si="2"/>
        <v>0</v>
      </c>
      <c r="J77" s="94"/>
      <c r="K77" s="94"/>
      <c r="L77" s="94"/>
      <c r="M77" s="95">
        <f t="shared" si="3"/>
        <v>0</v>
      </c>
      <c r="N77" s="94">
        <f t="shared" si="8"/>
        <v>3.5527136788005009E-13</v>
      </c>
    </row>
    <row r="78" spans="1:14">
      <c r="A78" s="92">
        <v>58</v>
      </c>
      <c r="B78" s="93">
        <f t="shared" si="4"/>
        <v>45143</v>
      </c>
      <c r="C78" s="94">
        <f t="shared" si="11"/>
        <v>0</v>
      </c>
      <c r="D78" s="94">
        <f t="shared" si="1"/>
        <v>0</v>
      </c>
      <c r="E78" s="94">
        <f t="shared" si="5"/>
        <v>0</v>
      </c>
      <c r="F78" s="94">
        <f t="shared" si="13"/>
        <v>0</v>
      </c>
      <c r="G78" s="94">
        <f t="shared" si="12"/>
        <v>0</v>
      </c>
      <c r="H78" s="94">
        <f t="shared" si="7"/>
        <v>0</v>
      </c>
      <c r="I78" s="94">
        <f t="shared" si="2"/>
        <v>0</v>
      </c>
      <c r="J78" s="94"/>
      <c r="K78" s="94"/>
      <c r="L78" s="94"/>
      <c r="M78" s="95">
        <f t="shared" si="3"/>
        <v>0</v>
      </c>
      <c r="N78" s="94">
        <f t="shared" si="8"/>
        <v>3.5527136788005009E-13</v>
      </c>
    </row>
    <row r="79" spans="1:14">
      <c r="A79" s="92">
        <v>59</v>
      </c>
      <c r="B79" s="93">
        <f t="shared" si="4"/>
        <v>45174</v>
      </c>
      <c r="C79" s="94">
        <f t="shared" si="11"/>
        <v>0</v>
      </c>
      <c r="D79" s="94">
        <f t="shared" si="1"/>
        <v>0</v>
      </c>
      <c r="E79" s="94">
        <f t="shared" si="5"/>
        <v>0</v>
      </c>
      <c r="F79" s="94">
        <f t="shared" si="13"/>
        <v>0</v>
      </c>
      <c r="G79" s="94">
        <f t="shared" si="12"/>
        <v>0</v>
      </c>
      <c r="H79" s="94">
        <f t="shared" si="7"/>
        <v>0</v>
      </c>
      <c r="I79" s="94">
        <f t="shared" si="2"/>
        <v>0</v>
      </c>
      <c r="J79" s="94"/>
      <c r="K79" s="94"/>
      <c r="L79" s="94"/>
      <c r="M79" s="95">
        <f t="shared" si="3"/>
        <v>0</v>
      </c>
      <c r="N79" s="94">
        <f t="shared" si="8"/>
        <v>3.5527136788005009E-13</v>
      </c>
    </row>
    <row r="80" spans="1:14">
      <c r="A80" s="92">
        <v>60</v>
      </c>
      <c r="B80" s="93">
        <f t="shared" si="4"/>
        <v>45204</v>
      </c>
      <c r="C80" s="94">
        <f t="shared" si="11"/>
        <v>0</v>
      </c>
      <c r="D80" s="94">
        <f t="shared" si="1"/>
        <v>0</v>
      </c>
      <c r="E80" s="94">
        <f t="shared" si="5"/>
        <v>0</v>
      </c>
      <c r="F80" s="94">
        <f t="shared" si="13"/>
        <v>0</v>
      </c>
      <c r="G80" s="94">
        <f t="shared" si="12"/>
        <v>0</v>
      </c>
      <c r="H80" s="94">
        <f t="shared" si="7"/>
        <v>0</v>
      </c>
      <c r="I80" s="94">
        <f t="shared" si="2"/>
        <v>0</v>
      </c>
      <c r="J80" s="94"/>
      <c r="K80" s="94"/>
      <c r="L80" s="94"/>
      <c r="M80" s="95">
        <f t="shared" si="3"/>
        <v>0</v>
      </c>
      <c r="N80" s="94">
        <f t="shared" si="8"/>
        <v>3.5527136788005009E-13</v>
      </c>
    </row>
    <row r="81" spans="1:14">
      <c r="A81" s="92">
        <v>61</v>
      </c>
      <c r="B81" s="93">
        <f t="shared" si="4"/>
        <v>45235</v>
      </c>
      <c r="C81" s="94">
        <f t="shared" si="11"/>
        <v>0</v>
      </c>
      <c r="D81" s="94">
        <f t="shared" si="1"/>
        <v>0</v>
      </c>
      <c r="E81" s="94">
        <f t="shared" si="5"/>
        <v>0</v>
      </c>
      <c r="F81" s="94">
        <f t="shared" si="13"/>
        <v>0</v>
      </c>
      <c r="G81" s="94">
        <f t="shared" si="12"/>
        <v>0</v>
      </c>
      <c r="H81" s="94">
        <f t="shared" si="7"/>
        <v>0</v>
      </c>
      <c r="I81" s="94">
        <f t="shared" si="2"/>
        <v>0</v>
      </c>
      <c r="J81" s="94"/>
      <c r="K81" s="94"/>
      <c r="L81" s="94"/>
      <c r="M81" s="95">
        <f t="shared" si="3"/>
        <v>0</v>
      </c>
      <c r="N81" s="94">
        <f t="shared" si="8"/>
        <v>3.5527136788005009E-13</v>
      </c>
    </row>
    <row r="82" spans="1:14">
      <c r="A82" s="92">
        <v>62</v>
      </c>
      <c r="B82" s="93">
        <f t="shared" si="4"/>
        <v>45265</v>
      </c>
      <c r="C82" s="94">
        <f t="shared" si="11"/>
        <v>0</v>
      </c>
      <c r="D82" s="94">
        <f t="shared" si="1"/>
        <v>0</v>
      </c>
      <c r="E82" s="94">
        <f t="shared" ref="E82:E104" si="14">D82*0.2</f>
        <v>0</v>
      </c>
      <c r="F82" s="94">
        <f t="shared" si="13"/>
        <v>0</v>
      </c>
      <c r="G82" s="94">
        <f t="shared" si="12"/>
        <v>0</v>
      </c>
      <c r="H82" s="94">
        <f t="shared" si="7"/>
        <v>0</v>
      </c>
      <c r="I82" s="94">
        <f t="shared" si="2"/>
        <v>0</v>
      </c>
      <c r="J82" s="94"/>
      <c r="K82" s="94"/>
      <c r="L82" s="94"/>
      <c r="M82" s="95">
        <f t="shared" si="3"/>
        <v>0</v>
      </c>
      <c r="N82" s="94">
        <f t="shared" si="8"/>
        <v>3.5527136788005009E-13</v>
      </c>
    </row>
    <row r="83" spans="1:14">
      <c r="A83" s="92">
        <v>63</v>
      </c>
      <c r="B83" s="93">
        <f t="shared" si="4"/>
        <v>45296</v>
      </c>
      <c r="C83" s="94">
        <f t="shared" si="11"/>
        <v>0</v>
      </c>
      <c r="D83" s="94">
        <f t="shared" si="1"/>
        <v>0</v>
      </c>
      <c r="E83" s="94">
        <f t="shared" si="14"/>
        <v>0</v>
      </c>
      <c r="F83" s="94">
        <f t="shared" si="13"/>
        <v>0</v>
      </c>
      <c r="G83" s="94">
        <f t="shared" si="12"/>
        <v>0</v>
      </c>
      <c r="H83" s="94">
        <f t="shared" si="7"/>
        <v>0</v>
      </c>
      <c r="I83" s="94">
        <f t="shared" si="2"/>
        <v>0</v>
      </c>
      <c r="J83" s="94"/>
      <c r="K83" s="94"/>
      <c r="L83" s="94"/>
      <c r="M83" s="95">
        <f t="shared" si="3"/>
        <v>0</v>
      </c>
      <c r="N83" s="94">
        <f t="shared" si="8"/>
        <v>3.5527136788005009E-13</v>
      </c>
    </row>
    <row r="84" spans="1:14">
      <c r="A84" s="92">
        <v>64</v>
      </c>
      <c r="B84" s="93">
        <f t="shared" si="4"/>
        <v>45327</v>
      </c>
      <c r="C84" s="94">
        <f t="shared" si="11"/>
        <v>0</v>
      </c>
      <c r="D84" s="94">
        <f t="shared" si="1"/>
        <v>0</v>
      </c>
      <c r="E84" s="94">
        <f t="shared" si="14"/>
        <v>0</v>
      </c>
      <c r="F84" s="94">
        <f t="shared" si="13"/>
        <v>0</v>
      </c>
      <c r="G84" s="94">
        <f t="shared" si="12"/>
        <v>0</v>
      </c>
      <c r="H84" s="94">
        <f t="shared" si="7"/>
        <v>0</v>
      </c>
      <c r="I84" s="94">
        <f t="shared" si="2"/>
        <v>0</v>
      </c>
      <c r="J84" s="94"/>
      <c r="K84" s="94"/>
      <c r="L84" s="94"/>
      <c r="M84" s="95">
        <f t="shared" si="3"/>
        <v>0</v>
      </c>
      <c r="N84" s="94">
        <f t="shared" si="8"/>
        <v>3.5527136788005009E-13</v>
      </c>
    </row>
    <row r="85" spans="1:14">
      <c r="A85" s="92">
        <v>65</v>
      </c>
      <c r="B85" s="93">
        <f t="shared" si="4"/>
        <v>45356</v>
      </c>
      <c r="C85" s="94">
        <f t="shared" si="11"/>
        <v>0</v>
      </c>
      <c r="D85" s="94">
        <f t="shared" ref="D85:D104" si="15">IF(A85&lt;=$F$7,IF($F$12=$I$9,$F$5*$F$13,N84*$F$14/12),0)+-IF(AND(A85&lt;=$M$9,$M$9&lt;&gt;0),$J$20/$M$9,0)+-IF(AND(A85&lt;=$M$10,$M$10&lt;&gt;0),$K$20/$M$10,0)</f>
        <v>0</v>
      </c>
      <c r="E85" s="94">
        <f t="shared" si="14"/>
        <v>0</v>
      </c>
      <c r="F85" s="94">
        <f t="shared" si="13"/>
        <v>0</v>
      </c>
      <c r="G85" s="94">
        <f t="shared" si="12"/>
        <v>0</v>
      </c>
      <c r="H85" s="94">
        <f t="shared" si="7"/>
        <v>0</v>
      </c>
      <c r="I85" s="94">
        <f t="shared" ref="I85:I104" si="16">C85*20/120</f>
        <v>0</v>
      </c>
      <c r="J85" s="94"/>
      <c r="K85" s="94"/>
      <c r="L85" s="94"/>
      <c r="M85" s="95">
        <f t="shared" ref="M85:M104" si="17">SUM(C85,D85,G85,J85,K85,L85)</f>
        <v>0</v>
      </c>
      <c r="N85" s="94">
        <f t="shared" si="8"/>
        <v>3.5527136788005009E-13</v>
      </c>
    </row>
    <row r="86" spans="1:14">
      <c r="A86" s="92">
        <v>66</v>
      </c>
      <c r="B86" s="93">
        <f t="shared" ref="B86:B104" si="18">EOMONTH(B85,0)+DAY(B85)</f>
        <v>45387</v>
      </c>
      <c r="C86" s="94">
        <f t="shared" si="11"/>
        <v>0</v>
      </c>
      <c r="D86" s="94">
        <f t="shared" si="15"/>
        <v>0</v>
      </c>
      <c r="E86" s="94">
        <f t="shared" si="14"/>
        <v>0</v>
      </c>
      <c r="F86" s="94">
        <f t="shared" si="13"/>
        <v>0</v>
      </c>
      <c r="G86" s="94">
        <f t="shared" si="12"/>
        <v>0</v>
      </c>
      <c r="H86" s="94">
        <f t="shared" ref="H86:H104" si="19">SUM(C86:G86)+SUM(C86:G86)*$F$15</f>
        <v>0</v>
      </c>
      <c r="I86" s="94">
        <f t="shared" si="16"/>
        <v>0</v>
      </c>
      <c r="J86" s="94"/>
      <c r="K86" s="94"/>
      <c r="L86" s="94"/>
      <c r="M86" s="95">
        <f t="shared" si="17"/>
        <v>0</v>
      </c>
      <c r="N86" s="94">
        <f t="shared" ref="N86:N104" si="20">N85-C86</f>
        <v>3.5527136788005009E-13</v>
      </c>
    </row>
    <row r="87" spans="1:14">
      <c r="A87" s="92">
        <v>67</v>
      </c>
      <c r="B87" s="93">
        <f t="shared" si="18"/>
        <v>45417</v>
      </c>
      <c r="C87" s="94">
        <f t="shared" si="11"/>
        <v>0</v>
      </c>
      <c r="D87" s="94">
        <f t="shared" si="15"/>
        <v>0</v>
      </c>
      <c r="E87" s="94">
        <f t="shared" si="14"/>
        <v>0</v>
      </c>
      <c r="F87" s="94">
        <f t="shared" si="13"/>
        <v>0</v>
      </c>
      <c r="G87" s="94">
        <f t="shared" si="12"/>
        <v>0</v>
      </c>
      <c r="H87" s="94">
        <f t="shared" si="19"/>
        <v>0</v>
      </c>
      <c r="I87" s="94">
        <f t="shared" si="16"/>
        <v>0</v>
      </c>
      <c r="J87" s="94"/>
      <c r="K87" s="94"/>
      <c r="L87" s="94"/>
      <c r="M87" s="95">
        <f t="shared" si="17"/>
        <v>0</v>
      </c>
      <c r="N87" s="94">
        <f t="shared" si="20"/>
        <v>3.5527136788005009E-13</v>
      </c>
    </row>
    <row r="88" spans="1:14">
      <c r="A88" s="92">
        <v>68</v>
      </c>
      <c r="B88" s="93">
        <f t="shared" si="18"/>
        <v>45448</v>
      </c>
      <c r="C88" s="94">
        <f t="shared" si="11"/>
        <v>0</v>
      </c>
      <c r="D88" s="94">
        <f t="shared" si="15"/>
        <v>0</v>
      </c>
      <c r="E88" s="94">
        <f t="shared" si="14"/>
        <v>0</v>
      </c>
      <c r="F88" s="94">
        <f t="shared" si="13"/>
        <v>0</v>
      </c>
      <c r="G88" s="94">
        <f t="shared" si="12"/>
        <v>0</v>
      </c>
      <c r="H88" s="94">
        <f t="shared" si="19"/>
        <v>0</v>
      </c>
      <c r="I88" s="94">
        <f t="shared" si="16"/>
        <v>0</v>
      </c>
      <c r="J88" s="94"/>
      <c r="K88" s="94"/>
      <c r="L88" s="94"/>
      <c r="M88" s="95">
        <f t="shared" si="17"/>
        <v>0</v>
      </c>
      <c r="N88" s="94">
        <f t="shared" si="20"/>
        <v>3.5527136788005009E-13</v>
      </c>
    </row>
    <row r="89" spans="1:14">
      <c r="A89" s="92">
        <v>69</v>
      </c>
      <c r="B89" s="93">
        <f t="shared" si="18"/>
        <v>45478</v>
      </c>
      <c r="C89" s="94">
        <f t="shared" si="11"/>
        <v>0</v>
      </c>
      <c r="D89" s="94">
        <f t="shared" si="15"/>
        <v>0</v>
      </c>
      <c r="E89" s="94">
        <f t="shared" si="14"/>
        <v>0</v>
      </c>
      <c r="F89" s="94">
        <f t="shared" si="13"/>
        <v>0</v>
      </c>
      <c r="G89" s="94">
        <f t="shared" si="12"/>
        <v>0</v>
      </c>
      <c r="H89" s="94">
        <f t="shared" si="19"/>
        <v>0</v>
      </c>
      <c r="I89" s="94">
        <f t="shared" si="16"/>
        <v>0</v>
      </c>
      <c r="J89" s="94"/>
      <c r="K89" s="94"/>
      <c r="L89" s="94"/>
      <c r="M89" s="95">
        <f t="shared" si="17"/>
        <v>0</v>
      </c>
      <c r="N89" s="94">
        <f t="shared" si="20"/>
        <v>3.5527136788005009E-13</v>
      </c>
    </row>
    <row r="90" spans="1:14">
      <c r="A90" s="92">
        <v>70</v>
      </c>
      <c r="B90" s="93">
        <f t="shared" si="18"/>
        <v>45509</v>
      </c>
      <c r="C90" s="94">
        <f t="shared" si="11"/>
        <v>0</v>
      </c>
      <c r="D90" s="94">
        <f t="shared" si="15"/>
        <v>0</v>
      </c>
      <c r="E90" s="94">
        <f t="shared" si="14"/>
        <v>0</v>
      </c>
      <c r="F90" s="94">
        <f t="shared" si="13"/>
        <v>0</v>
      </c>
      <c r="G90" s="94">
        <f t="shared" si="12"/>
        <v>0</v>
      </c>
      <c r="H90" s="94">
        <f t="shared" si="19"/>
        <v>0</v>
      </c>
      <c r="I90" s="94">
        <f t="shared" si="16"/>
        <v>0</v>
      </c>
      <c r="J90" s="94"/>
      <c r="K90" s="94"/>
      <c r="L90" s="94"/>
      <c r="M90" s="95">
        <f t="shared" si="17"/>
        <v>0</v>
      </c>
      <c r="N90" s="94">
        <f t="shared" si="20"/>
        <v>3.5527136788005009E-13</v>
      </c>
    </row>
    <row r="91" spans="1:14">
      <c r="A91" s="92">
        <v>71</v>
      </c>
      <c r="B91" s="93">
        <f t="shared" si="18"/>
        <v>45540</v>
      </c>
      <c r="C91" s="94">
        <f t="shared" si="11"/>
        <v>0</v>
      </c>
      <c r="D91" s="94">
        <f t="shared" si="15"/>
        <v>0</v>
      </c>
      <c r="E91" s="94">
        <f t="shared" si="14"/>
        <v>0</v>
      </c>
      <c r="F91" s="94">
        <f t="shared" si="13"/>
        <v>0</v>
      </c>
      <c r="G91" s="94">
        <f t="shared" si="12"/>
        <v>0</v>
      </c>
      <c r="H91" s="94">
        <f t="shared" si="19"/>
        <v>0</v>
      </c>
      <c r="I91" s="94">
        <f t="shared" si="16"/>
        <v>0</v>
      </c>
      <c r="J91" s="94"/>
      <c r="K91" s="94"/>
      <c r="L91" s="94"/>
      <c r="M91" s="95">
        <f t="shared" si="17"/>
        <v>0</v>
      </c>
      <c r="N91" s="94">
        <f t="shared" si="20"/>
        <v>3.5527136788005009E-13</v>
      </c>
    </row>
    <row r="92" spans="1:14">
      <c r="A92" s="92">
        <v>72</v>
      </c>
      <c r="B92" s="93">
        <f t="shared" si="18"/>
        <v>45570</v>
      </c>
      <c r="C92" s="94">
        <f t="shared" si="11"/>
        <v>0</v>
      </c>
      <c r="D92" s="94">
        <f t="shared" si="15"/>
        <v>0</v>
      </c>
      <c r="E92" s="94">
        <f t="shared" si="14"/>
        <v>0</v>
      </c>
      <c r="F92" s="94">
        <f t="shared" si="13"/>
        <v>0</v>
      </c>
      <c r="G92" s="94">
        <f t="shared" si="12"/>
        <v>0</v>
      </c>
      <c r="H92" s="94">
        <f t="shared" si="19"/>
        <v>0</v>
      </c>
      <c r="I92" s="94">
        <f t="shared" si="16"/>
        <v>0</v>
      </c>
      <c r="J92" s="94"/>
      <c r="K92" s="94"/>
      <c r="L92" s="94"/>
      <c r="M92" s="95">
        <f t="shared" si="17"/>
        <v>0</v>
      </c>
      <c r="N92" s="94">
        <f t="shared" si="20"/>
        <v>3.5527136788005009E-13</v>
      </c>
    </row>
    <row r="93" spans="1:14">
      <c r="A93" s="92">
        <v>73</v>
      </c>
      <c r="B93" s="93">
        <f t="shared" si="18"/>
        <v>45601</v>
      </c>
      <c r="C93" s="94">
        <f t="shared" si="11"/>
        <v>0</v>
      </c>
      <c r="D93" s="94">
        <f t="shared" si="15"/>
        <v>0</v>
      </c>
      <c r="E93" s="94">
        <f t="shared" si="14"/>
        <v>0</v>
      </c>
      <c r="F93" s="94">
        <f t="shared" si="13"/>
        <v>0</v>
      </c>
      <c r="G93" s="94">
        <f t="shared" si="12"/>
        <v>0</v>
      </c>
      <c r="H93" s="94">
        <f t="shared" si="19"/>
        <v>0</v>
      </c>
      <c r="I93" s="94">
        <f t="shared" si="16"/>
        <v>0</v>
      </c>
      <c r="J93" s="94"/>
      <c r="K93" s="94"/>
      <c r="L93" s="94"/>
      <c r="M93" s="95">
        <f t="shared" si="17"/>
        <v>0</v>
      </c>
      <c r="N93" s="94">
        <f t="shared" si="20"/>
        <v>3.5527136788005009E-13</v>
      </c>
    </row>
    <row r="94" spans="1:14">
      <c r="A94" s="92">
        <v>74</v>
      </c>
      <c r="B94" s="93">
        <f t="shared" si="18"/>
        <v>45631</v>
      </c>
      <c r="C94" s="94">
        <f t="shared" si="11"/>
        <v>0</v>
      </c>
      <c r="D94" s="94">
        <f t="shared" si="15"/>
        <v>0</v>
      </c>
      <c r="E94" s="94">
        <f t="shared" si="14"/>
        <v>0</v>
      </c>
      <c r="F94" s="94">
        <f t="shared" si="13"/>
        <v>0</v>
      </c>
      <c r="G94" s="94">
        <f t="shared" si="12"/>
        <v>0</v>
      </c>
      <c r="H94" s="94">
        <f t="shared" si="19"/>
        <v>0</v>
      </c>
      <c r="I94" s="94">
        <f t="shared" si="16"/>
        <v>0</v>
      </c>
      <c r="J94" s="94"/>
      <c r="K94" s="94"/>
      <c r="L94" s="94"/>
      <c r="M94" s="95">
        <f t="shared" si="17"/>
        <v>0</v>
      </c>
      <c r="N94" s="94">
        <f t="shared" si="20"/>
        <v>3.5527136788005009E-13</v>
      </c>
    </row>
    <row r="95" spans="1:14">
      <c r="A95" s="92">
        <v>75</v>
      </c>
      <c r="B95" s="93">
        <f t="shared" si="18"/>
        <v>45662</v>
      </c>
      <c r="C95" s="94">
        <f t="shared" si="11"/>
        <v>0</v>
      </c>
      <c r="D95" s="94">
        <f t="shared" si="15"/>
        <v>0</v>
      </c>
      <c r="E95" s="94">
        <f t="shared" si="14"/>
        <v>0</v>
      </c>
      <c r="F95" s="94">
        <f t="shared" si="13"/>
        <v>0</v>
      </c>
      <c r="G95" s="94">
        <f t="shared" si="12"/>
        <v>0</v>
      </c>
      <c r="H95" s="94">
        <f t="shared" si="19"/>
        <v>0</v>
      </c>
      <c r="I95" s="94">
        <f t="shared" si="16"/>
        <v>0</v>
      </c>
      <c r="J95" s="94"/>
      <c r="K95" s="94"/>
      <c r="L95" s="94"/>
      <c r="M95" s="95">
        <f t="shared" si="17"/>
        <v>0</v>
      </c>
      <c r="N95" s="94">
        <f t="shared" si="20"/>
        <v>3.5527136788005009E-13</v>
      </c>
    </row>
    <row r="96" spans="1:14">
      <c r="A96" s="92">
        <v>76</v>
      </c>
      <c r="B96" s="93">
        <f t="shared" si="18"/>
        <v>45693</v>
      </c>
      <c r="C96" s="94">
        <f t="shared" si="11"/>
        <v>0</v>
      </c>
      <c r="D96" s="94">
        <f t="shared" si="15"/>
        <v>0</v>
      </c>
      <c r="E96" s="94">
        <f t="shared" si="14"/>
        <v>0</v>
      </c>
      <c r="F96" s="94">
        <f t="shared" si="13"/>
        <v>0</v>
      </c>
      <c r="G96" s="94">
        <f t="shared" si="12"/>
        <v>0</v>
      </c>
      <c r="H96" s="94">
        <f t="shared" si="19"/>
        <v>0</v>
      </c>
      <c r="I96" s="94">
        <f t="shared" si="16"/>
        <v>0</v>
      </c>
      <c r="J96" s="94"/>
      <c r="K96" s="94"/>
      <c r="L96" s="94"/>
      <c r="M96" s="95">
        <f t="shared" si="17"/>
        <v>0</v>
      </c>
      <c r="N96" s="94">
        <f t="shared" si="20"/>
        <v>3.5527136788005009E-13</v>
      </c>
    </row>
    <row r="97" spans="1:14">
      <c r="A97" s="92">
        <v>77</v>
      </c>
      <c r="B97" s="93">
        <f t="shared" si="18"/>
        <v>45721</v>
      </c>
      <c r="C97" s="94">
        <f t="shared" si="11"/>
        <v>0</v>
      </c>
      <c r="D97" s="94">
        <f t="shared" si="15"/>
        <v>0</v>
      </c>
      <c r="E97" s="94">
        <f t="shared" si="14"/>
        <v>0</v>
      </c>
      <c r="F97" s="94">
        <f t="shared" si="13"/>
        <v>0</v>
      </c>
      <c r="G97" s="94">
        <f t="shared" si="12"/>
        <v>0</v>
      </c>
      <c r="H97" s="94">
        <f t="shared" si="19"/>
        <v>0</v>
      </c>
      <c r="I97" s="94">
        <f t="shared" si="16"/>
        <v>0</v>
      </c>
      <c r="J97" s="94"/>
      <c r="K97" s="94"/>
      <c r="L97" s="94"/>
      <c r="M97" s="95">
        <f t="shared" si="17"/>
        <v>0</v>
      </c>
      <c r="N97" s="94">
        <f t="shared" si="20"/>
        <v>3.5527136788005009E-13</v>
      </c>
    </row>
    <row r="98" spans="1:14">
      <c r="A98" s="92">
        <v>78</v>
      </c>
      <c r="B98" s="93">
        <f t="shared" si="18"/>
        <v>45752</v>
      </c>
      <c r="C98" s="94">
        <f t="shared" si="11"/>
        <v>0</v>
      </c>
      <c r="D98" s="94">
        <f t="shared" si="15"/>
        <v>0</v>
      </c>
      <c r="E98" s="94">
        <f t="shared" si="14"/>
        <v>0</v>
      </c>
      <c r="F98" s="94">
        <f t="shared" si="13"/>
        <v>0</v>
      </c>
      <c r="G98" s="94">
        <f t="shared" si="12"/>
        <v>0</v>
      </c>
      <c r="H98" s="94">
        <f t="shared" si="19"/>
        <v>0</v>
      </c>
      <c r="I98" s="94">
        <f t="shared" si="16"/>
        <v>0</v>
      </c>
      <c r="J98" s="94"/>
      <c r="K98" s="94"/>
      <c r="L98" s="94"/>
      <c r="M98" s="95">
        <f t="shared" si="17"/>
        <v>0</v>
      </c>
      <c r="N98" s="94">
        <f t="shared" si="20"/>
        <v>3.5527136788005009E-13</v>
      </c>
    </row>
    <row r="99" spans="1:14">
      <c r="A99" s="92">
        <v>79</v>
      </c>
      <c r="B99" s="93">
        <f t="shared" si="18"/>
        <v>45782</v>
      </c>
      <c r="C99" s="94">
        <f t="shared" si="11"/>
        <v>0</v>
      </c>
      <c r="D99" s="94">
        <f t="shared" si="15"/>
        <v>0</v>
      </c>
      <c r="E99" s="94">
        <f t="shared" si="14"/>
        <v>0</v>
      </c>
      <c r="F99" s="94">
        <f t="shared" si="13"/>
        <v>0</v>
      </c>
      <c r="G99" s="94">
        <f t="shared" si="12"/>
        <v>0</v>
      </c>
      <c r="H99" s="94">
        <f t="shared" si="19"/>
        <v>0</v>
      </c>
      <c r="I99" s="94">
        <f t="shared" si="16"/>
        <v>0</v>
      </c>
      <c r="J99" s="94"/>
      <c r="K99" s="94"/>
      <c r="L99" s="94"/>
      <c r="M99" s="95">
        <f t="shared" si="17"/>
        <v>0</v>
      </c>
      <c r="N99" s="94">
        <f t="shared" si="20"/>
        <v>3.5527136788005009E-13</v>
      </c>
    </row>
    <row r="100" spans="1:14">
      <c r="A100" s="92">
        <v>80</v>
      </c>
      <c r="B100" s="93">
        <f t="shared" si="18"/>
        <v>45813</v>
      </c>
      <c r="C100" s="94">
        <f t="shared" si="11"/>
        <v>0</v>
      </c>
      <c r="D100" s="94">
        <f t="shared" si="15"/>
        <v>0</v>
      </c>
      <c r="E100" s="94">
        <f t="shared" si="14"/>
        <v>0</v>
      </c>
      <c r="F100" s="94">
        <f t="shared" si="13"/>
        <v>0</v>
      </c>
      <c r="G100" s="94">
        <f t="shared" si="12"/>
        <v>0</v>
      </c>
      <c r="H100" s="94">
        <f t="shared" si="19"/>
        <v>0</v>
      </c>
      <c r="I100" s="94">
        <f t="shared" si="16"/>
        <v>0</v>
      </c>
      <c r="J100" s="94"/>
      <c r="K100" s="94"/>
      <c r="L100" s="94"/>
      <c r="M100" s="95">
        <f t="shared" si="17"/>
        <v>0</v>
      </c>
      <c r="N100" s="94">
        <f t="shared" si="20"/>
        <v>3.5527136788005009E-13</v>
      </c>
    </row>
    <row r="101" spans="1:14">
      <c r="A101" s="92">
        <v>81</v>
      </c>
      <c r="B101" s="93">
        <f t="shared" si="18"/>
        <v>45843</v>
      </c>
      <c r="C101" s="94">
        <f t="shared" si="11"/>
        <v>0</v>
      </c>
      <c r="D101" s="94">
        <f t="shared" si="15"/>
        <v>0</v>
      </c>
      <c r="E101" s="94">
        <f t="shared" si="14"/>
        <v>0</v>
      </c>
      <c r="F101" s="94">
        <f t="shared" si="13"/>
        <v>0</v>
      </c>
      <c r="G101" s="94">
        <f t="shared" si="12"/>
        <v>0</v>
      </c>
      <c r="H101" s="94">
        <f t="shared" si="19"/>
        <v>0</v>
      </c>
      <c r="I101" s="94">
        <f t="shared" si="16"/>
        <v>0</v>
      </c>
      <c r="J101" s="94"/>
      <c r="K101" s="94"/>
      <c r="L101" s="94"/>
      <c r="M101" s="95">
        <f t="shared" si="17"/>
        <v>0</v>
      </c>
      <c r="N101" s="94">
        <f t="shared" si="20"/>
        <v>3.5527136788005009E-13</v>
      </c>
    </row>
    <row r="102" spans="1:14">
      <c r="A102" s="92">
        <v>82</v>
      </c>
      <c r="B102" s="93">
        <f t="shared" si="18"/>
        <v>45874</v>
      </c>
      <c r="C102" s="94">
        <f t="shared" si="11"/>
        <v>0</v>
      </c>
      <c r="D102" s="94">
        <f t="shared" si="15"/>
        <v>0</v>
      </c>
      <c r="E102" s="94">
        <f t="shared" si="14"/>
        <v>0</v>
      </c>
      <c r="F102" s="94">
        <f t="shared" si="13"/>
        <v>0</v>
      </c>
      <c r="G102" s="94">
        <f t="shared" si="12"/>
        <v>0</v>
      </c>
      <c r="H102" s="94">
        <f t="shared" si="19"/>
        <v>0</v>
      </c>
      <c r="I102" s="94">
        <f t="shared" si="16"/>
        <v>0</v>
      </c>
      <c r="J102" s="94"/>
      <c r="K102" s="94"/>
      <c r="L102" s="94"/>
      <c r="M102" s="95">
        <f t="shared" si="17"/>
        <v>0</v>
      </c>
      <c r="N102" s="94">
        <f t="shared" si="20"/>
        <v>3.5527136788005009E-13</v>
      </c>
    </row>
    <row r="103" spans="1:14">
      <c r="A103" s="92">
        <v>83</v>
      </c>
      <c r="B103" s="93">
        <f t="shared" si="18"/>
        <v>45905</v>
      </c>
      <c r="C103" s="94">
        <f t="shared" si="11"/>
        <v>0</v>
      </c>
      <c r="D103" s="94">
        <f t="shared" si="15"/>
        <v>0</v>
      </c>
      <c r="E103" s="94">
        <f t="shared" si="14"/>
        <v>0</v>
      </c>
      <c r="F103" s="94">
        <f t="shared" si="13"/>
        <v>0</v>
      </c>
      <c r="G103" s="94">
        <f t="shared" si="12"/>
        <v>0</v>
      </c>
      <c r="H103" s="94">
        <f t="shared" si="19"/>
        <v>0</v>
      </c>
      <c r="I103" s="94">
        <f t="shared" si="16"/>
        <v>0</v>
      </c>
      <c r="J103" s="94"/>
      <c r="K103" s="94"/>
      <c r="L103" s="94"/>
      <c r="M103" s="95">
        <f t="shared" si="17"/>
        <v>0</v>
      </c>
      <c r="N103" s="94">
        <f t="shared" si="20"/>
        <v>3.5527136788005009E-13</v>
      </c>
    </row>
    <row r="104" spans="1:14">
      <c r="A104" s="92">
        <v>84</v>
      </c>
      <c r="B104" s="93">
        <f t="shared" si="18"/>
        <v>45935</v>
      </c>
      <c r="C104" s="94">
        <f t="shared" si="11"/>
        <v>0</v>
      </c>
      <c r="D104" s="94">
        <f t="shared" si="15"/>
        <v>0</v>
      </c>
      <c r="E104" s="94">
        <f t="shared" si="14"/>
        <v>0</v>
      </c>
      <c r="F104" s="94">
        <f t="shared" si="13"/>
        <v>0</v>
      </c>
      <c r="G104" s="94">
        <f t="shared" si="12"/>
        <v>0</v>
      </c>
      <c r="H104" s="94">
        <f t="shared" si="19"/>
        <v>0</v>
      </c>
      <c r="I104" s="94">
        <f t="shared" si="16"/>
        <v>0</v>
      </c>
      <c r="J104" s="94"/>
      <c r="K104" s="94"/>
      <c r="L104" s="94"/>
      <c r="M104" s="95">
        <f t="shared" si="17"/>
        <v>0</v>
      </c>
      <c r="N104" s="94">
        <f t="shared" si="20"/>
        <v>3.5527136788005009E-13</v>
      </c>
    </row>
    <row r="106" spans="1:14">
      <c r="B106" s="96"/>
    </row>
    <row r="107" spans="1:14">
      <c r="B107" s="94"/>
    </row>
  </sheetData>
  <sheetProtection formatRows="0" insertColumns="0" selectLockedCells="1" selectUnlockedCells="1"/>
  <conditionalFormatting sqref="C18">
    <cfRule type="cellIs" dxfId="71" priority="9" operator="lessThan">
      <formula>0</formula>
    </cfRule>
    <cfRule type="cellIs" dxfId="70" priority="10" operator="greaterThan">
      <formula>0</formula>
    </cfRule>
    <cfRule type="cellIs" dxfId="69" priority="11" operator="equal">
      <formula>0</formula>
    </cfRule>
  </conditionalFormatting>
  <conditionalFormatting sqref="B18">
    <cfRule type="cellIs" dxfId="68" priority="5" operator="equal">
      <formula>0</formula>
    </cfRule>
    <cfRule type="cellIs" dxfId="67" priority="4" operator="greaterThan">
      <formula>0</formula>
    </cfRule>
    <cfRule type="cellIs" dxfId="66" priority="3" operator="lessThan">
      <formula>0</formula>
    </cfRule>
  </conditionalFormatting>
  <conditionalFormatting sqref="F16">
    <cfRule type="cellIs" dxfId="65" priority="1" operator="lessThan">
      <formula>0.1</formula>
    </cfRule>
    <cfRule type="cellIs" dxfId="64" priority="2" operator="greaterThan">
      <formula>0.18</formula>
    </cfRule>
  </conditionalFormatting>
  <conditionalFormatting sqref="I18">
    <cfRule type="cellIs" dxfId="63" priority="8" operator="equal">
      <formula>0</formula>
    </cfRule>
    <cfRule type="cellIs" dxfId="62" priority="6" operator="lessThan">
      <formula>0</formula>
    </cfRule>
    <cfRule type="cellIs" dxfId="61" priority="7" operator="greaterThan">
      <formula>0</formula>
    </cfRule>
  </conditionalFormatting>
  <dataValidations count="2">
    <dataValidation type="list" allowBlank="1" showInputMessage="1" showErrorMessage="1" sqref="F12" xr:uid="{00000000-0002-0000-0600-000000000000}">
      <formula1>$I$9:$I$10</formula1>
    </dataValidation>
    <dataValidation type="list" allowBlank="1" showInputMessage="1" showErrorMessage="1" sqref="F9" xr:uid="{00000000-0002-0000-0600-000001000000}">
      <formula1>$I$6:$I$7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7"/>
  <sheetViews>
    <sheetView zoomScale="85" workbookViewId="0">
      <selection activeCell="F5" sqref="F5"/>
    </sheetView>
  </sheetViews>
  <sheetFormatPr defaultColWidth="9.140625" defaultRowHeight="15"/>
  <cols>
    <col min="1" max="2" width="9.140625" style="71"/>
    <col min="3" max="3" width="10.5703125" style="71" bestFit="1" customWidth="1"/>
    <col min="4" max="5" width="9.28515625" style="71" bestFit="1" customWidth="1"/>
    <col min="6" max="6" width="8.7109375" style="71" customWidth="1"/>
    <col min="7" max="7" width="9.28515625" style="71" bestFit="1" customWidth="1"/>
    <col min="8" max="8" width="10.5703125" style="71" bestFit="1" customWidth="1"/>
    <col min="9" max="12" width="9.28515625" style="71" bestFit="1" customWidth="1"/>
    <col min="13" max="13" width="10.5703125" style="71" bestFit="1" customWidth="1"/>
    <col min="14" max="14" width="10" style="71" bestFit="1" customWidth="1"/>
    <col min="15" max="19" width="9.140625" style="71"/>
    <col min="20" max="20" width="19" style="71" customWidth="1"/>
    <col min="21" max="16384" width="9.140625" style="71"/>
  </cols>
  <sheetData>
    <row r="1" spans="1:18" ht="18.75">
      <c r="A1" s="72">
        <v>2</v>
      </c>
      <c r="F1" s="74"/>
      <c r="R1" s="71" t="s">
        <v>115</v>
      </c>
    </row>
    <row r="2" spans="1:18" ht="18.75">
      <c r="A2" s="72" t="s">
        <v>66</v>
      </c>
      <c r="F2" s="75" t="s">
        <v>67</v>
      </c>
      <c r="J2" s="94">
        <f>SUM(D21:D44)</f>
        <v>587.54268311611906</v>
      </c>
      <c r="R2" s="71" t="s">
        <v>116</v>
      </c>
    </row>
    <row r="5" spans="1:18">
      <c r="A5" s="73" t="s">
        <v>68</v>
      </c>
      <c r="F5" s="119">
        <f>'Калькулятор 12-48 мес'!K11</f>
        <v>1000</v>
      </c>
      <c r="H5" s="73"/>
      <c r="I5" s="73"/>
      <c r="J5" s="73"/>
      <c r="K5" s="73" t="s">
        <v>69</v>
      </c>
    </row>
    <row r="6" spans="1:18">
      <c r="A6" s="73" t="s">
        <v>70</v>
      </c>
      <c r="F6" s="120">
        <f>'Калькулятор 12-48 мес'!K14</f>
        <v>0</v>
      </c>
      <c r="G6" s="119">
        <f>F5*F6</f>
        <v>0</v>
      </c>
      <c r="I6" s="71" t="s">
        <v>71</v>
      </c>
      <c r="K6" s="93">
        <v>44927</v>
      </c>
      <c r="O6" s="73" t="s">
        <v>72</v>
      </c>
      <c r="P6" s="73"/>
      <c r="Q6" s="73" t="s">
        <v>73</v>
      </c>
      <c r="R6" s="73" t="s">
        <v>74</v>
      </c>
    </row>
    <row r="7" spans="1:18">
      <c r="A7" s="73" t="s">
        <v>75</v>
      </c>
      <c r="F7" s="119">
        <v>24</v>
      </c>
      <c r="I7" s="71" t="s">
        <v>76</v>
      </c>
      <c r="O7" s="71">
        <v>1</v>
      </c>
      <c r="P7" s="71" t="s">
        <v>77</v>
      </c>
      <c r="Q7" s="78">
        <v>2.0199999999999999E-2</v>
      </c>
      <c r="R7" s="78">
        <f>2.02%*1.22</f>
        <v>2.4643999999999999E-2</v>
      </c>
    </row>
    <row r="8" spans="1:18">
      <c r="A8" s="73" t="s">
        <v>78</v>
      </c>
      <c r="F8" s="79">
        <v>0</v>
      </c>
      <c r="L8" s="71" t="s">
        <v>79</v>
      </c>
      <c r="M8" s="71" t="s">
        <v>80</v>
      </c>
      <c r="O8" s="71">
        <v>2</v>
      </c>
      <c r="P8" s="71" t="s">
        <v>81</v>
      </c>
      <c r="Q8" s="79">
        <f>2.07%*0.8</f>
        <v>1.6560000000000002E-2</v>
      </c>
      <c r="R8" s="79">
        <f>2.07%*0.8*1.22</f>
        <v>2.0203200000000001E-2</v>
      </c>
    </row>
    <row r="9" spans="1:18">
      <c r="A9" s="73" t="s">
        <v>82</v>
      </c>
      <c r="F9" s="119" t="s">
        <v>76</v>
      </c>
      <c r="I9" s="71" t="s">
        <v>83</v>
      </c>
      <c r="K9" s="71" t="s">
        <v>84</v>
      </c>
      <c r="L9" s="79"/>
      <c r="M9" s="119">
        <v>12</v>
      </c>
      <c r="O9" s="71">
        <v>3</v>
      </c>
      <c r="P9" s="71" t="s">
        <v>85</v>
      </c>
      <c r="Q9" s="79">
        <f>2.33%*0.7</f>
        <v>1.6310000000000002E-2</v>
      </c>
      <c r="R9" s="79">
        <f>2.33%*0.7*1.22</f>
        <v>1.9898200000000001E-2</v>
      </c>
    </row>
    <row r="10" spans="1:18">
      <c r="A10" s="73" t="s">
        <v>86</v>
      </c>
      <c r="F10" s="121">
        <v>1.45</v>
      </c>
      <c r="I10" s="71" t="s">
        <v>87</v>
      </c>
      <c r="K10" s="71" t="s">
        <v>88</v>
      </c>
      <c r="L10" s="79">
        <v>0</v>
      </c>
      <c r="M10" s="119">
        <v>0</v>
      </c>
      <c r="O10" s="71">
        <v>4</v>
      </c>
      <c r="P10" s="71" t="s">
        <v>89</v>
      </c>
      <c r="Q10" s="79">
        <f>2.76%*0.6</f>
        <v>1.6559999999999998E-2</v>
      </c>
      <c r="R10" s="79">
        <f>2.76%*0.6*1.22</f>
        <v>2.0203199999999998E-2</v>
      </c>
    </row>
    <row r="11" spans="1:18">
      <c r="A11" s="73"/>
      <c r="F11" s="121">
        <v>1.25</v>
      </c>
      <c r="L11" s="79"/>
      <c r="M11" s="119"/>
      <c r="Q11" s="79"/>
      <c r="R11" s="79">
        <f>3.03%*0.5*1.22</f>
        <v>1.8482999999999999E-2</v>
      </c>
    </row>
    <row r="12" spans="1:18">
      <c r="A12" s="73" t="s">
        <v>90</v>
      </c>
      <c r="F12" s="119" t="s">
        <v>87</v>
      </c>
      <c r="O12" s="71">
        <v>5</v>
      </c>
      <c r="P12" s="71" t="s">
        <v>91</v>
      </c>
      <c r="Q12" s="79">
        <f>3.03%*0.5</f>
        <v>1.5149999999999999E-2</v>
      </c>
      <c r="R12" s="79">
        <f>3.03%*0.5</f>
        <v>1.5149999999999999E-2</v>
      </c>
    </row>
    <row r="13" spans="1:18">
      <c r="A13" s="73" t="s">
        <v>92</v>
      </c>
      <c r="F13" s="79">
        <v>0</v>
      </c>
      <c r="G13" s="79"/>
      <c r="I13" s="71" t="s">
        <v>93</v>
      </c>
      <c r="K13" s="73" t="s">
        <v>94</v>
      </c>
      <c r="O13" s="71">
        <v>6</v>
      </c>
      <c r="P13" s="71" t="s">
        <v>95</v>
      </c>
      <c r="Q13" s="78">
        <f>Q12</f>
        <v>1.5149999999999999E-2</v>
      </c>
      <c r="R13" s="78">
        <f>R12</f>
        <v>1.5149999999999999E-2</v>
      </c>
    </row>
    <row r="14" spans="1:18">
      <c r="A14" s="73" t="s">
        <v>96</v>
      </c>
      <c r="F14" s="76">
        <v>0.49</v>
      </c>
      <c r="G14" s="79"/>
      <c r="I14" s="71" t="s">
        <v>2</v>
      </c>
      <c r="K14" s="79">
        <v>0</v>
      </c>
      <c r="O14" s="71">
        <v>7</v>
      </c>
      <c r="P14" s="71" t="s">
        <v>97</v>
      </c>
      <c r="Q14" s="78">
        <f>Q13</f>
        <v>1.5149999999999999E-2</v>
      </c>
      <c r="R14" s="78">
        <f>R13</f>
        <v>1.5149999999999999E-2</v>
      </c>
    </row>
    <row r="15" spans="1:18">
      <c r="A15" s="73" t="s">
        <v>98</v>
      </c>
      <c r="F15" s="79">
        <v>0</v>
      </c>
      <c r="G15" s="79"/>
    </row>
    <row r="16" spans="1:18">
      <c r="A16" s="73" t="s">
        <v>99</v>
      </c>
      <c r="F16" s="79">
        <f>XIRR(M20:M104,B20:B104)</f>
        <v>0.61595020890235908</v>
      </c>
    </row>
    <row r="17" spans="1:20">
      <c r="O17" s="78"/>
      <c r="P17" s="78"/>
      <c r="R17" s="71" t="str">
        <f>'Калькулятор 12-48 мес'!K12</f>
        <v>ФЛ</v>
      </c>
      <c r="S17" s="71" t="s">
        <v>100</v>
      </c>
    </row>
    <row r="18" spans="1:20">
      <c r="A18" s="92">
        <f>LARGE(A20:A1048576,1)</f>
        <v>84</v>
      </c>
      <c r="B18" s="92">
        <f>IF(A18&lt;F7,"протяните формулы",0)</f>
        <v>0</v>
      </c>
      <c r="C18" s="92">
        <f>SUM(C20:C104)</f>
        <v>0</v>
      </c>
      <c r="D18" s="92">
        <f t="shared" ref="D18:M18" si="0">SUM(D20:D104)</f>
        <v>587.54268311611906</v>
      </c>
      <c r="E18" s="92">
        <f t="shared" si="0"/>
        <v>0</v>
      </c>
      <c r="F18" s="92">
        <f t="shared" si="0"/>
        <v>0</v>
      </c>
      <c r="G18" s="92">
        <f t="shared" si="0"/>
        <v>0</v>
      </c>
      <c r="H18" s="92">
        <f t="shared" si="0"/>
        <v>587.54268311611884</v>
      </c>
      <c r="I18" s="94"/>
      <c r="J18" s="92">
        <f t="shared" si="0"/>
        <v>0</v>
      </c>
      <c r="K18" s="92">
        <f t="shared" si="0"/>
        <v>0</v>
      </c>
      <c r="L18" s="92">
        <f t="shared" si="0"/>
        <v>0</v>
      </c>
      <c r="M18" s="92">
        <f t="shared" si="0"/>
        <v>587.54268311611884</v>
      </c>
      <c r="O18" s="122"/>
      <c r="P18" s="122"/>
    </row>
    <row r="19" spans="1:20" ht="76.5">
      <c r="A19" s="123" t="s">
        <v>101</v>
      </c>
      <c r="B19" s="123" t="s">
        <v>102</v>
      </c>
      <c r="C19" s="123" t="s">
        <v>103</v>
      </c>
      <c r="D19" s="123" t="s">
        <v>104</v>
      </c>
      <c r="E19" s="123" t="s">
        <v>105</v>
      </c>
      <c r="F19" s="123" t="s">
        <v>106</v>
      </c>
      <c r="G19" s="123" t="s">
        <v>107</v>
      </c>
      <c r="H19" s="123" t="s">
        <v>108</v>
      </c>
      <c r="I19" s="85" t="s">
        <v>109</v>
      </c>
      <c r="J19" s="123" t="s">
        <v>84</v>
      </c>
      <c r="K19" s="123" t="s">
        <v>110</v>
      </c>
      <c r="L19" s="123" t="s">
        <v>111</v>
      </c>
      <c r="M19" s="123" t="s">
        <v>112</v>
      </c>
      <c r="N19" s="123" t="s">
        <v>113</v>
      </c>
      <c r="O19" s="78"/>
      <c r="P19" s="78"/>
      <c r="Q19" s="88"/>
      <c r="R19" s="88"/>
      <c r="S19" s="88"/>
      <c r="T19" s="71" t="s">
        <v>117</v>
      </c>
    </row>
    <row r="20" spans="1:20">
      <c r="A20" s="124">
        <v>0</v>
      </c>
      <c r="B20" s="124" t="s">
        <v>114</v>
      </c>
      <c r="C20" s="94">
        <f>IF(F6&gt;=40%,-(F5*60%),-(F5*(1-F6)))</f>
        <v>-1000</v>
      </c>
      <c r="D20" s="94"/>
      <c r="E20" s="94"/>
      <c r="F20" s="94"/>
      <c r="G20" s="94"/>
      <c r="H20" s="94">
        <f>SUM(C20:G20)</f>
        <v>-1000</v>
      </c>
      <c r="I20" s="94">
        <f>C20*20/120</f>
        <v>-166.66666666666666</v>
      </c>
      <c r="J20" s="94">
        <f>-F5*L9</f>
        <v>0</v>
      </c>
      <c r="K20" s="94">
        <f>-F5*L10</f>
        <v>0</v>
      </c>
      <c r="L20" s="94">
        <f>F5*F8</f>
        <v>0</v>
      </c>
      <c r="M20" s="95">
        <f t="shared" ref="M20:M30" si="1">SUM(C20,D20,G20,J20,K20,L20)</f>
        <v>-1000</v>
      </c>
      <c r="N20" s="94">
        <f>-C20</f>
        <v>1000</v>
      </c>
      <c r="O20" s="78"/>
      <c r="P20" s="78"/>
    </row>
    <row r="21" spans="1:20">
      <c r="A21" s="92">
        <f>A20+1</f>
        <v>1</v>
      </c>
      <c r="B21" s="93">
        <f>EOMONTH(B20,0)+DAY(B20)</f>
        <v>43409</v>
      </c>
      <c r="C21" s="94">
        <f>T21-D21-E21</f>
        <v>25.314278463171654</v>
      </c>
      <c r="D21" s="94">
        <f t="shared" ref="D21:D84" si="2">IF(A21&lt;=$F$7,IF($F$12=$I$9,$F$5*$F$13,N20*$F$14/12),0)+-IF(AND(A21&lt;=$M$9,$M$9&lt;&gt;0),$J$20/$M$9,0)+-IF(AND(A21&lt;=$M$10,$M$10&lt;&gt;0),$K$20/$M$10,0)</f>
        <v>40.833333333333336</v>
      </c>
      <c r="E21" s="94">
        <f>IF($R$17="ЮЛ",D21*0.2,0)</f>
        <v>0</v>
      </c>
      <c r="F21" s="94">
        <f>IF(AND(A21&lt;=$F$7,$S$17="ДА"),($F$5*VLOOKUP(ROUNDUP(A21/12,0),$O$7:$Q$14,3,0)/12),0)</f>
        <v>0</v>
      </c>
      <c r="G21" s="94">
        <v>0</v>
      </c>
      <c r="H21" s="94">
        <f>SUM(C21:G21)+SUM(C21:G21)*$F$15</f>
        <v>66.147611796504989</v>
      </c>
      <c r="I21" s="94">
        <f t="shared" ref="I21:I84" si="3">C21*20/120</f>
        <v>4.219046410528609</v>
      </c>
      <c r="J21" s="94"/>
      <c r="K21" s="94"/>
      <c r="L21" s="94"/>
      <c r="M21" s="95">
        <f t="shared" si="1"/>
        <v>66.147611796504989</v>
      </c>
      <c r="N21" s="94">
        <f t="shared" ref="N21:N84" si="4">N20-C21</f>
        <v>974.6857215368284</v>
      </c>
      <c r="O21" s="78"/>
      <c r="P21" s="78"/>
      <c r="T21" s="98">
        <f>IF($R$17=$R$1,PMT($F$14/12,$F$7,-($F$5-$G$6),$F$5*$K$14,0)+$F$5*$L$9/$M$9,PMT($F$14/12*1.2,$F$7,-($F$5-$G$6),$F$5*$K$14,0)+$F$5*$L$9/$M$9)</f>
        <v>66.147611796504989</v>
      </c>
    </row>
    <row r="22" spans="1:20">
      <c r="A22" s="92">
        <v>2</v>
      </c>
      <c r="B22" s="93">
        <f t="shared" ref="B22:B85" si="5">EOMONTH(B21,0)+DAY(B21)</f>
        <v>43439</v>
      </c>
      <c r="C22" s="94">
        <f t="shared" ref="C22:C43" si="6">T22-D22-E22</f>
        <v>26.347944833751164</v>
      </c>
      <c r="D22" s="94">
        <f t="shared" si="2"/>
        <v>39.799666962753825</v>
      </c>
      <c r="E22" s="94">
        <f t="shared" ref="E22:E81" si="7">IF($R$17="ЮЛ",D22*0.2,0)</f>
        <v>0</v>
      </c>
      <c r="F22" s="94">
        <f t="shared" ref="F22:F71" si="8">IF(AND(A22&lt;=$F$7,$S$17="ДА"),($F$5*VLOOKUP(ROUNDUP(A22/12,0),$O$7:$Q$14,3,0)/12),0)</f>
        <v>0</v>
      </c>
      <c r="G22" s="94">
        <v>0</v>
      </c>
      <c r="H22" s="94">
        <f t="shared" ref="H22:H85" si="9">SUM(C22:G22)+SUM(C22:G22)*$F$15</f>
        <v>66.147611796504989</v>
      </c>
      <c r="I22" s="94">
        <f t="shared" si="3"/>
        <v>4.3913241389585274</v>
      </c>
      <c r="J22" s="94"/>
      <c r="K22" s="94"/>
      <c r="L22" s="94"/>
      <c r="M22" s="95">
        <f t="shared" si="1"/>
        <v>66.147611796504989</v>
      </c>
      <c r="N22" s="94">
        <f t="shared" si="4"/>
        <v>948.33777670307722</v>
      </c>
      <c r="O22" s="78"/>
      <c r="P22" s="78"/>
      <c r="T22" s="98">
        <f t="shared" ref="T22:T44" si="10">IF($R$17=$R$1,PMT($F$14/12,$F$7,-($F$5-$G$6),$F$5*$K$14,0)+$F$5*$L$9/$M$9,PMT($F$14/12*1.2,$F$7,-($F$5-$G$6),$F$5*$K$14,0)+$F$5*$L$9/$M$9)</f>
        <v>66.147611796504989</v>
      </c>
    </row>
    <row r="23" spans="1:20">
      <c r="A23" s="92">
        <v>3</v>
      </c>
      <c r="B23" s="93">
        <f t="shared" si="5"/>
        <v>43470</v>
      </c>
      <c r="C23" s="94">
        <f t="shared" si="6"/>
        <v>27.423819247796004</v>
      </c>
      <c r="D23" s="94">
        <f t="shared" si="2"/>
        <v>38.723792548708985</v>
      </c>
      <c r="E23" s="94">
        <f t="shared" si="7"/>
        <v>0</v>
      </c>
      <c r="F23" s="94">
        <f t="shared" si="8"/>
        <v>0</v>
      </c>
      <c r="G23" s="94">
        <v>0</v>
      </c>
      <c r="H23" s="94">
        <f t="shared" si="9"/>
        <v>66.147611796504989</v>
      </c>
      <c r="I23" s="94">
        <f t="shared" si="3"/>
        <v>4.5706365412993346</v>
      </c>
      <c r="J23" s="94"/>
      <c r="K23" s="94"/>
      <c r="L23" s="94"/>
      <c r="M23" s="95">
        <f t="shared" si="1"/>
        <v>66.147611796504989</v>
      </c>
      <c r="N23" s="94">
        <f t="shared" si="4"/>
        <v>920.91395745528121</v>
      </c>
      <c r="O23" s="78"/>
      <c r="P23" s="78"/>
      <c r="T23" s="98">
        <f t="shared" si="10"/>
        <v>66.147611796504989</v>
      </c>
    </row>
    <row r="24" spans="1:20">
      <c r="A24" s="92">
        <v>4</v>
      </c>
      <c r="B24" s="93">
        <f t="shared" si="5"/>
        <v>43501</v>
      </c>
      <c r="C24" s="94">
        <f t="shared" si="6"/>
        <v>28.54362520041434</v>
      </c>
      <c r="D24" s="94">
        <f t="shared" si="2"/>
        <v>37.60398659609065</v>
      </c>
      <c r="E24" s="94">
        <f t="shared" si="7"/>
        <v>0</v>
      </c>
      <c r="F24" s="94">
        <f t="shared" si="8"/>
        <v>0</v>
      </c>
      <c r="G24" s="94">
        <v>0</v>
      </c>
      <c r="H24" s="94">
        <f t="shared" si="9"/>
        <v>66.147611796504989</v>
      </c>
      <c r="I24" s="94">
        <f t="shared" si="3"/>
        <v>4.7572708667357233</v>
      </c>
      <c r="J24" s="94"/>
      <c r="K24" s="94"/>
      <c r="L24" s="94"/>
      <c r="M24" s="95">
        <f t="shared" si="1"/>
        <v>66.147611796504989</v>
      </c>
      <c r="N24" s="94">
        <f t="shared" si="4"/>
        <v>892.37033225486687</v>
      </c>
      <c r="O24" s="78"/>
      <c r="P24" s="78"/>
      <c r="T24" s="98">
        <f t="shared" si="10"/>
        <v>66.147611796504989</v>
      </c>
    </row>
    <row r="25" spans="1:20">
      <c r="A25" s="92">
        <v>5</v>
      </c>
      <c r="B25" s="93">
        <f t="shared" si="5"/>
        <v>43529</v>
      </c>
      <c r="C25" s="94">
        <f t="shared" si="6"/>
        <v>29.709156562764598</v>
      </c>
      <c r="D25" s="94">
        <f t="shared" si="2"/>
        <v>36.438455233740392</v>
      </c>
      <c r="E25" s="94">
        <f t="shared" si="7"/>
        <v>0</v>
      </c>
      <c r="F25" s="94">
        <f t="shared" si="8"/>
        <v>0</v>
      </c>
      <c r="G25" s="94">
        <v>0</v>
      </c>
      <c r="H25" s="94">
        <f t="shared" si="9"/>
        <v>66.147611796504989</v>
      </c>
      <c r="I25" s="94">
        <f t="shared" si="3"/>
        <v>4.9515260937940999</v>
      </c>
      <c r="J25" s="94"/>
      <c r="K25" s="94"/>
      <c r="L25" s="94"/>
      <c r="M25" s="95">
        <f t="shared" si="1"/>
        <v>66.147611796504989</v>
      </c>
      <c r="N25" s="94">
        <f t="shared" si="4"/>
        <v>862.66117569210223</v>
      </c>
      <c r="T25" s="98">
        <f t="shared" si="10"/>
        <v>66.147611796504989</v>
      </c>
    </row>
    <row r="26" spans="1:20">
      <c r="A26" s="92">
        <v>6</v>
      </c>
      <c r="B26" s="93">
        <f t="shared" si="5"/>
        <v>43560</v>
      </c>
      <c r="C26" s="94">
        <f t="shared" si="6"/>
        <v>30.922280455744151</v>
      </c>
      <c r="D26" s="94">
        <f t="shared" si="2"/>
        <v>35.225331340760839</v>
      </c>
      <c r="E26" s="94">
        <f t="shared" si="7"/>
        <v>0</v>
      </c>
      <c r="F26" s="94">
        <f t="shared" si="8"/>
        <v>0</v>
      </c>
      <c r="G26" s="94">
        <v>0</v>
      </c>
      <c r="H26" s="94">
        <f t="shared" si="9"/>
        <v>66.147611796504989</v>
      </c>
      <c r="I26" s="94">
        <f t="shared" si="3"/>
        <v>5.1537134092906918</v>
      </c>
      <c r="J26" s="94"/>
      <c r="K26" s="94"/>
      <c r="L26" s="94"/>
      <c r="M26" s="95">
        <f t="shared" si="1"/>
        <v>66.147611796504989</v>
      </c>
      <c r="N26" s="94">
        <f t="shared" si="4"/>
        <v>831.73889523635808</v>
      </c>
      <c r="T26" s="98">
        <f t="shared" si="10"/>
        <v>66.147611796504989</v>
      </c>
    </row>
    <row r="27" spans="1:20">
      <c r="A27" s="92">
        <v>7</v>
      </c>
      <c r="B27" s="93">
        <f t="shared" si="5"/>
        <v>43590</v>
      </c>
      <c r="C27" s="94">
        <f t="shared" si="6"/>
        <v>32.184940241020371</v>
      </c>
      <c r="D27" s="94">
        <f t="shared" si="2"/>
        <v>33.962671555484619</v>
      </c>
      <c r="E27" s="94">
        <f t="shared" si="7"/>
        <v>0</v>
      </c>
      <c r="F27" s="94">
        <f t="shared" si="8"/>
        <v>0</v>
      </c>
      <c r="G27" s="94">
        <v>0</v>
      </c>
      <c r="H27" s="94">
        <f t="shared" si="9"/>
        <v>66.147611796504989</v>
      </c>
      <c r="I27" s="94">
        <f t="shared" si="3"/>
        <v>5.3641567068367282</v>
      </c>
      <c r="J27" s="94"/>
      <c r="K27" s="94"/>
      <c r="L27" s="94"/>
      <c r="M27" s="95">
        <f t="shared" si="1"/>
        <v>66.147611796504989</v>
      </c>
      <c r="N27" s="94">
        <f t="shared" si="4"/>
        <v>799.55395499533768</v>
      </c>
      <c r="T27" s="98">
        <f t="shared" si="10"/>
        <v>66.147611796504989</v>
      </c>
    </row>
    <row r="28" spans="1:20">
      <c r="A28" s="92">
        <v>8</v>
      </c>
      <c r="B28" s="93">
        <f t="shared" si="5"/>
        <v>43621</v>
      </c>
      <c r="C28" s="94">
        <f t="shared" si="6"/>
        <v>33.499158634195368</v>
      </c>
      <c r="D28" s="94">
        <f t="shared" si="2"/>
        <v>32.648453162309622</v>
      </c>
      <c r="E28" s="94">
        <f t="shared" si="7"/>
        <v>0</v>
      </c>
      <c r="F28" s="94">
        <f t="shared" si="8"/>
        <v>0</v>
      </c>
      <c r="G28" s="94">
        <v>0</v>
      </c>
      <c r="H28" s="94">
        <f t="shared" si="9"/>
        <v>66.147611796504989</v>
      </c>
      <c r="I28" s="94">
        <f t="shared" si="3"/>
        <v>5.5831931056992277</v>
      </c>
      <c r="J28" s="94"/>
      <c r="K28" s="94"/>
      <c r="L28" s="94"/>
      <c r="M28" s="95">
        <f t="shared" si="1"/>
        <v>66.147611796504989</v>
      </c>
      <c r="N28" s="94">
        <f t="shared" si="4"/>
        <v>766.05479636114228</v>
      </c>
      <c r="T28" s="98">
        <f t="shared" si="10"/>
        <v>66.147611796504989</v>
      </c>
    </row>
    <row r="29" spans="1:20">
      <c r="A29" s="92">
        <v>9</v>
      </c>
      <c r="B29" s="93">
        <f t="shared" si="5"/>
        <v>43651</v>
      </c>
      <c r="C29" s="94">
        <f t="shared" si="6"/>
        <v>34.867040945091674</v>
      </c>
      <c r="D29" s="94">
        <f t="shared" si="2"/>
        <v>31.280570851413312</v>
      </c>
      <c r="E29" s="94">
        <f t="shared" si="7"/>
        <v>0</v>
      </c>
      <c r="F29" s="94">
        <f t="shared" si="8"/>
        <v>0</v>
      </c>
      <c r="G29" s="94">
        <v>0</v>
      </c>
      <c r="H29" s="94">
        <f t="shared" si="9"/>
        <v>66.147611796504989</v>
      </c>
      <c r="I29" s="94">
        <f t="shared" si="3"/>
        <v>5.8111734908486126</v>
      </c>
      <c r="J29" s="94"/>
      <c r="K29" s="94"/>
      <c r="L29" s="94"/>
      <c r="M29" s="95">
        <f t="shared" si="1"/>
        <v>66.147611796504989</v>
      </c>
      <c r="N29" s="94">
        <f t="shared" si="4"/>
        <v>731.18775541605055</v>
      </c>
      <c r="T29" s="98">
        <f t="shared" si="10"/>
        <v>66.147611796504989</v>
      </c>
    </row>
    <row r="30" spans="1:20">
      <c r="A30" s="92">
        <v>10</v>
      </c>
      <c r="B30" s="93">
        <f t="shared" si="5"/>
        <v>43682</v>
      </c>
      <c r="C30" s="94">
        <f t="shared" si="6"/>
        <v>36.290778450349592</v>
      </c>
      <c r="D30" s="94">
        <f t="shared" si="2"/>
        <v>29.856833346155398</v>
      </c>
      <c r="E30" s="94">
        <f t="shared" si="7"/>
        <v>0</v>
      </c>
      <c r="F30" s="94">
        <f t="shared" si="8"/>
        <v>0</v>
      </c>
      <c r="G30" s="94">
        <v>0</v>
      </c>
      <c r="H30" s="94">
        <f t="shared" si="9"/>
        <v>66.147611796504989</v>
      </c>
      <c r="I30" s="94">
        <f t="shared" si="3"/>
        <v>6.0484630750582653</v>
      </c>
      <c r="J30" s="94"/>
      <c r="K30" s="94"/>
      <c r="L30" s="94"/>
      <c r="M30" s="95">
        <f t="shared" si="1"/>
        <v>66.147611796504989</v>
      </c>
      <c r="N30" s="94">
        <f t="shared" si="4"/>
        <v>694.89697696570101</v>
      </c>
      <c r="T30" s="98">
        <f t="shared" si="10"/>
        <v>66.147611796504989</v>
      </c>
    </row>
    <row r="31" spans="1:20">
      <c r="A31" s="92">
        <v>11</v>
      </c>
      <c r="B31" s="93">
        <f t="shared" si="5"/>
        <v>43713</v>
      </c>
      <c r="C31" s="94">
        <f t="shared" si="6"/>
        <v>37.772651903738861</v>
      </c>
      <c r="D31" s="94">
        <f t="shared" si="2"/>
        <v>28.374959892766125</v>
      </c>
      <c r="E31" s="94">
        <f t="shared" si="7"/>
        <v>0</v>
      </c>
      <c r="F31" s="94">
        <f t="shared" si="8"/>
        <v>0</v>
      </c>
      <c r="G31" s="94">
        <v>0</v>
      </c>
      <c r="H31" s="94">
        <f t="shared" si="9"/>
        <v>66.147611796504989</v>
      </c>
      <c r="I31" s="94">
        <f t="shared" si="3"/>
        <v>6.2954419839564766</v>
      </c>
      <c r="J31" s="94"/>
      <c r="K31" s="94"/>
      <c r="L31" s="94"/>
      <c r="M31" s="95">
        <f t="shared" ref="M31:M94" si="11">SUM(C31,D31,G31,J31,K31,L31)</f>
        <v>66.147611796504989</v>
      </c>
      <c r="N31" s="94">
        <f t="shared" si="4"/>
        <v>657.12432506196217</v>
      </c>
      <c r="T31" s="98">
        <f t="shared" si="10"/>
        <v>66.147611796504989</v>
      </c>
    </row>
    <row r="32" spans="1:20">
      <c r="A32" s="92">
        <v>12</v>
      </c>
      <c r="B32" s="93">
        <f t="shared" si="5"/>
        <v>43743</v>
      </c>
      <c r="C32" s="94">
        <f t="shared" si="6"/>
        <v>39.315035189808199</v>
      </c>
      <c r="D32" s="94">
        <f t="shared" si="2"/>
        <v>26.83257660669679</v>
      </c>
      <c r="E32" s="94">
        <f t="shared" si="7"/>
        <v>0</v>
      </c>
      <c r="F32" s="94">
        <f t="shared" si="8"/>
        <v>0</v>
      </c>
      <c r="G32" s="94">
        <v>0</v>
      </c>
      <c r="H32" s="94">
        <f t="shared" si="9"/>
        <v>66.147611796504989</v>
      </c>
      <c r="I32" s="94">
        <f t="shared" si="3"/>
        <v>6.5525058649680341</v>
      </c>
      <c r="J32" s="94"/>
      <c r="K32" s="94"/>
      <c r="L32" s="94"/>
      <c r="M32" s="95">
        <f t="shared" si="11"/>
        <v>66.147611796504989</v>
      </c>
      <c r="N32" s="94">
        <f t="shared" si="4"/>
        <v>617.80928987215395</v>
      </c>
      <c r="T32" s="98">
        <f t="shared" si="10"/>
        <v>66.147611796504989</v>
      </c>
    </row>
    <row r="33" spans="1:20">
      <c r="A33" s="92">
        <v>13</v>
      </c>
      <c r="B33" s="93">
        <f t="shared" si="5"/>
        <v>43774</v>
      </c>
      <c r="C33" s="94">
        <f t="shared" si="6"/>
        <v>40.920399126725371</v>
      </c>
      <c r="D33" s="94">
        <f t="shared" si="2"/>
        <v>25.227212669779618</v>
      </c>
      <c r="E33" s="94">
        <f t="shared" si="7"/>
        <v>0</v>
      </c>
      <c r="F33" s="94">
        <f t="shared" si="8"/>
        <v>0</v>
      </c>
      <c r="G33" s="94">
        <v>0</v>
      </c>
      <c r="H33" s="94">
        <f t="shared" si="9"/>
        <v>66.147611796504989</v>
      </c>
      <c r="I33" s="94">
        <f t="shared" si="3"/>
        <v>6.8200665211208955</v>
      </c>
      <c r="J33" s="94"/>
      <c r="K33" s="94"/>
      <c r="L33" s="94"/>
      <c r="M33" s="95">
        <f t="shared" si="11"/>
        <v>66.147611796504989</v>
      </c>
      <c r="N33" s="94">
        <f t="shared" si="4"/>
        <v>576.88889074542863</v>
      </c>
      <c r="T33" s="98">
        <f t="shared" si="10"/>
        <v>66.147611796504989</v>
      </c>
    </row>
    <row r="34" spans="1:20">
      <c r="A34" s="92">
        <v>14</v>
      </c>
      <c r="B34" s="93">
        <f t="shared" si="5"/>
        <v>43804</v>
      </c>
      <c r="C34" s="94">
        <f t="shared" si="6"/>
        <v>42.591315424399994</v>
      </c>
      <c r="D34" s="94">
        <f t="shared" si="2"/>
        <v>23.556296372104999</v>
      </c>
      <c r="E34" s="94">
        <f t="shared" si="7"/>
        <v>0</v>
      </c>
      <c r="F34" s="94">
        <f t="shared" si="8"/>
        <v>0</v>
      </c>
      <c r="G34" s="94">
        <v>0</v>
      </c>
      <c r="H34" s="94">
        <f t="shared" si="9"/>
        <v>66.147611796504989</v>
      </c>
      <c r="I34" s="94">
        <f t="shared" si="3"/>
        <v>7.0985525707333323</v>
      </c>
      <c r="J34" s="94"/>
      <c r="K34" s="94"/>
      <c r="L34" s="94"/>
      <c r="M34" s="95">
        <f t="shared" si="11"/>
        <v>66.147611796504989</v>
      </c>
      <c r="N34" s="94">
        <f t="shared" si="4"/>
        <v>534.2975753210286</v>
      </c>
      <c r="T34" s="98">
        <f t="shared" si="10"/>
        <v>66.147611796504989</v>
      </c>
    </row>
    <row r="35" spans="1:20">
      <c r="A35" s="92">
        <v>15</v>
      </c>
      <c r="B35" s="93">
        <f t="shared" si="5"/>
        <v>43835</v>
      </c>
      <c r="C35" s="94">
        <f t="shared" si="6"/>
        <v>44.330460804229659</v>
      </c>
      <c r="D35" s="94">
        <f t="shared" si="2"/>
        <v>21.817150992275334</v>
      </c>
      <c r="E35" s="94">
        <f t="shared" si="7"/>
        <v>0</v>
      </c>
      <c r="F35" s="94">
        <f t="shared" si="8"/>
        <v>0</v>
      </c>
      <c r="G35" s="94">
        <v>0</v>
      </c>
      <c r="H35" s="94">
        <f t="shared" si="9"/>
        <v>66.147611796504989</v>
      </c>
      <c r="I35" s="94">
        <f t="shared" si="3"/>
        <v>7.3884101340382768</v>
      </c>
      <c r="J35" s="94"/>
      <c r="K35" s="94"/>
      <c r="L35" s="94"/>
      <c r="M35" s="95">
        <f t="shared" si="11"/>
        <v>66.147611796504989</v>
      </c>
      <c r="N35" s="94">
        <f t="shared" si="4"/>
        <v>489.96711451679892</v>
      </c>
      <c r="T35" s="98">
        <f t="shared" si="10"/>
        <v>66.147611796504989</v>
      </c>
    </row>
    <row r="36" spans="1:20">
      <c r="A36" s="92">
        <v>16</v>
      </c>
      <c r="B36" s="93">
        <f t="shared" si="5"/>
        <v>43866</v>
      </c>
      <c r="C36" s="94">
        <f t="shared" si="6"/>
        <v>46.140621287069038</v>
      </c>
      <c r="D36" s="94">
        <f t="shared" si="2"/>
        <v>20.006990509435955</v>
      </c>
      <c r="E36" s="94">
        <f t="shared" si="7"/>
        <v>0</v>
      </c>
      <c r="F36" s="94">
        <f t="shared" si="8"/>
        <v>0</v>
      </c>
      <c r="G36" s="94">
        <v>0</v>
      </c>
      <c r="H36" s="94">
        <f t="shared" si="9"/>
        <v>66.147611796504989</v>
      </c>
      <c r="I36" s="94">
        <f t="shared" si="3"/>
        <v>7.6901035478448403</v>
      </c>
      <c r="J36" s="94"/>
      <c r="K36" s="94"/>
      <c r="L36" s="94"/>
      <c r="M36" s="95">
        <f t="shared" si="11"/>
        <v>66.147611796504989</v>
      </c>
      <c r="N36" s="94">
        <f t="shared" si="4"/>
        <v>443.82649322972986</v>
      </c>
      <c r="T36" s="98">
        <f t="shared" si="10"/>
        <v>66.147611796504989</v>
      </c>
    </row>
    <row r="37" spans="1:20">
      <c r="A37" s="92">
        <v>17</v>
      </c>
      <c r="B37" s="93">
        <f t="shared" si="5"/>
        <v>43895</v>
      </c>
      <c r="C37" s="94">
        <f t="shared" si="6"/>
        <v>48.02469665629102</v>
      </c>
      <c r="D37" s="94">
        <f t="shared" si="2"/>
        <v>18.122915140213969</v>
      </c>
      <c r="E37" s="94">
        <f t="shared" si="7"/>
        <v>0</v>
      </c>
      <c r="F37" s="94">
        <f t="shared" si="8"/>
        <v>0</v>
      </c>
      <c r="G37" s="94">
        <v>0</v>
      </c>
      <c r="H37" s="94">
        <f t="shared" si="9"/>
        <v>66.147611796504989</v>
      </c>
      <c r="I37" s="94">
        <f t="shared" si="3"/>
        <v>8.0041161093818367</v>
      </c>
      <c r="J37" s="94"/>
      <c r="K37" s="94"/>
      <c r="L37" s="94"/>
      <c r="M37" s="95">
        <f t="shared" si="11"/>
        <v>66.147611796504989</v>
      </c>
      <c r="N37" s="94">
        <f t="shared" si="4"/>
        <v>395.80179657343882</v>
      </c>
      <c r="T37" s="98">
        <f t="shared" si="10"/>
        <v>66.147611796504989</v>
      </c>
    </row>
    <row r="38" spans="1:20">
      <c r="A38" s="92">
        <v>18</v>
      </c>
      <c r="B38" s="93">
        <f t="shared" si="5"/>
        <v>43926</v>
      </c>
      <c r="C38" s="94">
        <f t="shared" si="6"/>
        <v>49.985705103089572</v>
      </c>
      <c r="D38" s="94">
        <f t="shared" si="2"/>
        <v>16.161906693415418</v>
      </c>
      <c r="E38" s="94">
        <f t="shared" si="7"/>
        <v>0</v>
      </c>
      <c r="F38" s="94">
        <f t="shared" si="8"/>
        <v>0</v>
      </c>
      <c r="G38" s="94">
        <v>0</v>
      </c>
      <c r="H38" s="94">
        <f t="shared" si="9"/>
        <v>66.147611796504989</v>
      </c>
      <c r="I38" s="94">
        <f t="shared" si="3"/>
        <v>8.3309508505149292</v>
      </c>
      <c r="J38" s="94"/>
      <c r="K38" s="94"/>
      <c r="L38" s="94"/>
      <c r="M38" s="95">
        <f t="shared" si="11"/>
        <v>66.147611796504989</v>
      </c>
      <c r="N38" s="94">
        <f t="shared" si="4"/>
        <v>345.81609147034925</v>
      </c>
      <c r="T38" s="98">
        <f t="shared" si="10"/>
        <v>66.147611796504989</v>
      </c>
    </row>
    <row r="39" spans="1:20">
      <c r="A39" s="92">
        <v>19</v>
      </c>
      <c r="B39" s="93">
        <f t="shared" si="5"/>
        <v>43956</v>
      </c>
      <c r="C39" s="94">
        <f t="shared" si="6"/>
        <v>52.02678806146573</v>
      </c>
      <c r="D39" s="94">
        <f t="shared" si="2"/>
        <v>14.120823735039261</v>
      </c>
      <c r="E39" s="94">
        <f t="shared" si="7"/>
        <v>0</v>
      </c>
      <c r="F39" s="94">
        <f t="shared" si="8"/>
        <v>0</v>
      </c>
      <c r="G39" s="94">
        <v>0</v>
      </c>
      <c r="H39" s="94">
        <f t="shared" si="9"/>
        <v>66.147611796504989</v>
      </c>
      <c r="I39" s="94">
        <f t="shared" si="3"/>
        <v>8.6711313435776223</v>
      </c>
      <c r="J39" s="94"/>
      <c r="K39" s="94"/>
      <c r="L39" s="94"/>
      <c r="M39" s="95">
        <f t="shared" si="11"/>
        <v>66.147611796504989</v>
      </c>
      <c r="N39" s="94">
        <f t="shared" si="4"/>
        <v>293.78930340888354</v>
      </c>
      <c r="T39" s="98">
        <f t="shared" si="10"/>
        <v>66.147611796504989</v>
      </c>
    </row>
    <row r="40" spans="1:20">
      <c r="A40" s="92">
        <v>20</v>
      </c>
      <c r="B40" s="93">
        <f t="shared" si="5"/>
        <v>43987</v>
      </c>
      <c r="C40" s="94">
        <f t="shared" si="6"/>
        <v>54.151215240642244</v>
      </c>
      <c r="D40" s="94">
        <f t="shared" si="2"/>
        <v>11.996396555862745</v>
      </c>
      <c r="E40" s="94">
        <f t="shared" si="7"/>
        <v>0</v>
      </c>
      <c r="F40" s="94">
        <f t="shared" si="8"/>
        <v>0</v>
      </c>
      <c r="G40" s="94">
        <v>0</v>
      </c>
      <c r="H40" s="94">
        <f t="shared" si="9"/>
        <v>66.147611796504989</v>
      </c>
      <c r="I40" s="94">
        <f t="shared" si="3"/>
        <v>9.0252025401070419</v>
      </c>
      <c r="J40" s="94"/>
      <c r="K40" s="94"/>
      <c r="L40" s="94"/>
      <c r="M40" s="95">
        <f t="shared" si="11"/>
        <v>66.147611796504989</v>
      </c>
      <c r="N40" s="94">
        <f t="shared" si="4"/>
        <v>239.6380881682413</v>
      </c>
      <c r="T40" s="98">
        <f t="shared" si="10"/>
        <v>66.147611796504989</v>
      </c>
    </row>
    <row r="41" spans="1:20">
      <c r="A41" s="92">
        <v>21</v>
      </c>
      <c r="B41" s="93">
        <f t="shared" si="5"/>
        <v>44017</v>
      </c>
      <c r="C41" s="94">
        <f t="shared" si="6"/>
        <v>56.36238986296847</v>
      </c>
      <c r="D41" s="94">
        <f t="shared" si="2"/>
        <v>9.7852219335365191</v>
      </c>
      <c r="E41" s="94">
        <f t="shared" si="7"/>
        <v>0</v>
      </c>
      <c r="F41" s="94">
        <f t="shared" si="8"/>
        <v>0</v>
      </c>
      <c r="G41" s="94">
        <v>0</v>
      </c>
      <c r="H41" s="94">
        <f t="shared" si="9"/>
        <v>66.147611796504989</v>
      </c>
      <c r="I41" s="94">
        <f t="shared" si="3"/>
        <v>9.3937316438280796</v>
      </c>
      <c r="J41" s="94"/>
      <c r="K41" s="94"/>
      <c r="L41" s="94"/>
      <c r="M41" s="95">
        <f t="shared" si="11"/>
        <v>66.147611796504989</v>
      </c>
      <c r="N41" s="94">
        <f t="shared" si="4"/>
        <v>183.27569830527284</v>
      </c>
      <c r="T41" s="98">
        <f t="shared" si="10"/>
        <v>66.147611796504989</v>
      </c>
    </row>
    <row r="42" spans="1:20">
      <c r="A42" s="92">
        <v>22</v>
      </c>
      <c r="B42" s="93">
        <f t="shared" si="5"/>
        <v>44048</v>
      </c>
      <c r="C42" s="94">
        <f t="shared" si="6"/>
        <v>58.66385411570635</v>
      </c>
      <c r="D42" s="94">
        <f t="shared" si="2"/>
        <v>7.4837576807986403</v>
      </c>
      <c r="E42" s="94">
        <f t="shared" si="7"/>
        <v>0</v>
      </c>
      <c r="F42" s="94">
        <f t="shared" si="8"/>
        <v>0</v>
      </c>
      <c r="G42" s="94">
        <v>0</v>
      </c>
      <c r="H42" s="94">
        <f t="shared" si="9"/>
        <v>66.147611796504989</v>
      </c>
      <c r="I42" s="94">
        <f t="shared" si="3"/>
        <v>9.7773090192843917</v>
      </c>
      <c r="J42" s="94"/>
      <c r="K42" s="94"/>
      <c r="L42" s="94"/>
      <c r="M42" s="95">
        <f t="shared" si="11"/>
        <v>66.147611796504989</v>
      </c>
      <c r="N42" s="94">
        <f t="shared" si="4"/>
        <v>124.61184418956648</v>
      </c>
      <c r="T42" s="98">
        <f t="shared" si="10"/>
        <v>66.147611796504989</v>
      </c>
    </row>
    <row r="43" spans="1:20">
      <c r="A43" s="92">
        <v>23</v>
      </c>
      <c r="B43" s="93">
        <f t="shared" si="5"/>
        <v>44079</v>
      </c>
      <c r="C43" s="94">
        <f t="shared" si="6"/>
        <v>61.059294825431024</v>
      </c>
      <c r="D43" s="94">
        <f t="shared" si="2"/>
        <v>5.0883169710739642</v>
      </c>
      <c r="E43" s="94">
        <f t="shared" si="7"/>
        <v>0</v>
      </c>
      <c r="F43" s="94">
        <f t="shared" si="8"/>
        <v>0</v>
      </c>
      <c r="G43" s="94">
        <v>0</v>
      </c>
      <c r="H43" s="94">
        <f t="shared" si="9"/>
        <v>66.147611796504989</v>
      </c>
      <c r="I43" s="94">
        <f t="shared" si="3"/>
        <v>10.176549137571838</v>
      </c>
      <c r="J43" s="94"/>
      <c r="K43" s="94"/>
      <c r="L43" s="94"/>
      <c r="M43" s="95">
        <f t="shared" si="11"/>
        <v>66.147611796504989</v>
      </c>
      <c r="N43" s="94">
        <f t="shared" si="4"/>
        <v>63.552549364135459</v>
      </c>
      <c r="T43" s="98">
        <f t="shared" si="10"/>
        <v>66.147611796504989</v>
      </c>
    </row>
    <row r="44" spans="1:20">
      <c r="A44" s="92">
        <v>24</v>
      </c>
      <c r="B44" s="93">
        <f t="shared" si="5"/>
        <v>44109</v>
      </c>
      <c r="C44" s="94">
        <f>IF(A44&lt;=$F$7,(IF($F$6&lt;=40%,IF($F$9=$I$6,(-$C$20-$F$5*$K$14)/$F$7+IF(A44=$F$7,$F$5*$K$14,0),MINA(((N43-$F$5*$K$14)/($F$7-A44+1)*$F$11),(N43-$F$5*$K$14))+IF(A44=$F$7,$F$5*$K$14,0)),IF(A44=1,F29*(F30-40%),IF($F$9=$I$6,(-$C$20-$F$5*$K$14)/$F$7+IF(A44=$F$7,$F$5*$K$14,0),MINA(((N43-$F$5*$K$14)/($F$7-A44+1)*$F$10),(N43-$F$5*$K$14))+IF(A44=$F$7,$F$5*$K$14,0))))),0)</f>
        <v>63.552549364135459</v>
      </c>
      <c r="D44" s="94">
        <f t="shared" si="2"/>
        <v>2.5950624323688642</v>
      </c>
      <c r="E44" s="94">
        <f t="shared" si="7"/>
        <v>0</v>
      </c>
      <c r="F44" s="94">
        <f t="shared" si="8"/>
        <v>0</v>
      </c>
      <c r="G44" s="94">
        <v>0</v>
      </c>
      <c r="H44" s="94">
        <f t="shared" si="9"/>
        <v>66.147611796504322</v>
      </c>
      <c r="I44" s="94">
        <f t="shared" si="3"/>
        <v>10.592091560689244</v>
      </c>
      <c r="J44" s="94"/>
      <c r="K44" s="94"/>
      <c r="L44" s="94"/>
      <c r="M44" s="95">
        <f t="shared" si="11"/>
        <v>66.147611796504322</v>
      </c>
      <c r="N44" s="94">
        <f t="shared" si="4"/>
        <v>0</v>
      </c>
      <c r="T44" s="98">
        <f t="shared" si="10"/>
        <v>66.147611796504989</v>
      </c>
    </row>
    <row r="45" spans="1:20">
      <c r="A45" s="92">
        <v>25</v>
      </c>
      <c r="B45" s="93">
        <f t="shared" si="5"/>
        <v>44140</v>
      </c>
      <c r="C45" s="94">
        <f t="shared" ref="C45:C104" si="12">IF(A45&lt;=$F$7,(IF($F$6&lt;=40%,IF($F$9=$I$6,(-$C$20-$F$5*$K$14)/$F$7+IF(A45=$F$7,$F$5*$K$14,0),MINA(((N44-$F$5*$K$14)/($F$7-A45+1)*$F$10),(N44-$F$5*$K$14))+IF(A45=$F$7,$F$5*$K$14,0)),IF(A45=1,F30*(F31-40%),IF($F$9=$I$6,(-$C$20-$F$5*$K$14)/$F$7+IF(A45=$F$7,$F$5*$K$14,0),MINA(((N44-$F$5*$K$14)/($F$7-A45+1)*$F$10),(N44-$F$5*$K$14))+IF(A45=$F$7,$F$5*$K$14,0))))),0)</f>
        <v>0</v>
      </c>
      <c r="D45" s="94">
        <f t="shared" si="2"/>
        <v>0</v>
      </c>
      <c r="E45" s="94">
        <f t="shared" si="7"/>
        <v>0</v>
      </c>
      <c r="F45" s="94">
        <f t="shared" si="8"/>
        <v>0</v>
      </c>
      <c r="G45" s="94">
        <f t="shared" ref="G45:G104" si="13">IF(A45&lt;=$F$7,$F$5*VLOOKUP(ROUNDUP(A45/12,0),$O$7:$R$14,4,0)/12,0)-F45</f>
        <v>0</v>
      </c>
      <c r="H45" s="94">
        <f t="shared" si="9"/>
        <v>0</v>
      </c>
      <c r="I45" s="94">
        <f t="shared" si="3"/>
        <v>0</v>
      </c>
      <c r="J45" s="94"/>
      <c r="K45" s="94"/>
      <c r="L45" s="94"/>
      <c r="M45" s="95">
        <f t="shared" si="11"/>
        <v>0</v>
      </c>
      <c r="N45" s="94">
        <f t="shared" si="4"/>
        <v>0</v>
      </c>
    </row>
    <row r="46" spans="1:20">
      <c r="A46" s="92">
        <v>26</v>
      </c>
      <c r="B46" s="93">
        <f t="shared" si="5"/>
        <v>44170</v>
      </c>
      <c r="C46" s="94">
        <f t="shared" si="12"/>
        <v>0</v>
      </c>
      <c r="D46" s="94">
        <f t="shared" si="2"/>
        <v>0</v>
      </c>
      <c r="E46" s="94">
        <f t="shared" si="7"/>
        <v>0</v>
      </c>
      <c r="F46" s="94">
        <f t="shared" si="8"/>
        <v>0</v>
      </c>
      <c r="G46" s="94">
        <f t="shared" si="13"/>
        <v>0</v>
      </c>
      <c r="H46" s="94">
        <f t="shared" si="9"/>
        <v>0</v>
      </c>
      <c r="I46" s="94">
        <f t="shared" si="3"/>
        <v>0</v>
      </c>
      <c r="J46" s="94"/>
      <c r="K46" s="94"/>
      <c r="L46" s="94"/>
      <c r="M46" s="95">
        <f t="shared" si="11"/>
        <v>0</v>
      </c>
      <c r="N46" s="94">
        <f t="shared" si="4"/>
        <v>0</v>
      </c>
    </row>
    <row r="47" spans="1:20">
      <c r="A47" s="92">
        <v>27</v>
      </c>
      <c r="B47" s="93">
        <f t="shared" si="5"/>
        <v>44201</v>
      </c>
      <c r="C47" s="94">
        <f t="shared" si="12"/>
        <v>0</v>
      </c>
      <c r="D47" s="94">
        <f t="shared" si="2"/>
        <v>0</v>
      </c>
      <c r="E47" s="94">
        <f t="shared" si="7"/>
        <v>0</v>
      </c>
      <c r="F47" s="94">
        <f t="shared" si="8"/>
        <v>0</v>
      </c>
      <c r="G47" s="94">
        <f t="shared" si="13"/>
        <v>0</v>
      </c>
      <c r="H47" s="94">
        <f t="shared" si="9"/>
        <v>0</v>
      </c>
      <c r="I47" s="94">
        <f t="shared" si="3"/>
        <v>0</v>
      </c>
      <c r="J47" s="94"/>
      <c r="K47" s="94"/>
      <c r="L47" s="94"/>
      <c r="M47" s="95">
        <f t="shared" si="11"/>
        <v>0</v>
      </c>
      <c r="N47" s="94">
        <f t="shared" si="4"/>
        <v>0</v>
      </c>
    </row>
    <row r="48" spans="1:20">
      <c r="A48" s="92">
        <v>28</v>
      </c>
      <c r="B48" s="93">
        <f t="shared" si="5"/>
        <v>44232</v>
      </c>
      <c r="C48" s="94">
        <f t="shared" si="12"/>
        <v>0</v>
      </c>
      <c r="D48" s="94">
        <f t="shared" si="2"/>
        <v>0</v>
      </c>
      <c r="E48" s="94">
        <f t="shared" si="7"/>
        <v>0</v>
      </c>
      <c r="F48" s="94">
        <f t="shared" si="8"/>
        <v>0</v>
      </c>
      <c r="G48" s="94">
        <f t="shared" si="13"/>
        <v>0</v>
      </c>
      <c r="H48" s="94">
        <f t="shared" si="9"/>
        <v>0</v>
      </c>
      <c r="I48" s="94">
        <f t="shared" si="3"/>
        <v>0</v>
      </c>
      <c r="J48" s="94"/>
      <c r="K48" s="94"/>
      <c r="L48" s="94"/>
      <c r="M48" s="95">
        <f t="shared" si="11"/>
        <v>0</v>
      </c>
      <c r="N48" s="94">
        <f t="shared" si="4"/>
        <v>0</v>
      </c>
    </row>
    <row r="49" spans="1:14">
      <c r="A49" s="92">
        <v>29</v>
      </c>
      <c r="B49" s="93">
        <f t="shared" si="5"/>
        <v>44260</v>
      </c>
      <c r="C49" s="94">
        <f t="shared" si="12"/>
        <v>0</v>
      </c>
      <c r="D49" s="94">
        <f t="shared" si="2"/>
        <v>0</v>
      </c>
      <c r="E49" s="94">
        <f t="shared" si="7"/>
        <v>0</v>
      </c>
      <c r="F49" s="94">
        <f t="shared" si="8"/>
        <v>0</v>
      </c>
      <c r="G49" s="94">
        <f t="shared" si="13"/>
        <v>0</v>
      </c>
      <c r="H49" s="94">
        <f t="shared" si="9"/>
        <v>0</v>
      </c>
      <c r="I49" s="94">
        <f t="shared" si="3"/>
        <v>0</v>
      </c>
      <c r="J49" s="94"/>
      <c r="K49" s="94"/>
      <c r="L49" s="94"/>
      <c r="M49" s="95">
        <f t="shared" si="11"/>
        <v>0</v>
      </c>
      <c r="N49" s="94">
        <f t="shared" si="4"/>
        <v>0</v>
      </c>
    </row>
    <row r="50" spans="1:14">
      <c r="A50" s="92">
        <v>30</v>
      </c>
      <c r="B50" s="93">
        <f t="shared" si="5"/>
        <v>44291</v>
      </c>
      <c r="C50" s="94">
        <f t="shared" si="12"/>
        <v>0</v>
      </c>
      <c r="D50" s="94">
        <f t="shared" si="2"/>
        <v>0</v>
      </c>
      <c r="E50" s="94">
        <f t="shared" si="7"/>
        <v>0</v>
      </c>
      <c r="F50" s="94">
        <f t="shared" si="8"/>
        <v>0</v>
      </c>
      <c r="G50" s="94">
        <f t="shared" si="13"/>
        <v>0</v>
      </c>
      <c r="H50" s="94">
        <f t="shared" si="9"/>
        <v>0</v>
      </c>
      <c r="I50" s="94">
        <f t="shared" si="3"/>
        <v>0</v>
      </c>
      <c r="J50" s="94"/>
      <c r="K50" s="94"/>
      <c r="L50" s="94"/>
      <c r="M50" s="95">
        <f t="shared" si="11"/>
        <v>0</v>
      </c>
      <c r="N50" s="94">
        <f t="shared" si="4"/>
        <v>0</v>
      </c>
    </row>
    <row r="51" spans="1:14">
      <c r="A51" s="92">
        <v>31</v>
      </c>
      <c r="B51" s="93">
        <f t="shared" si="5"/>
        <v>44321</v>
      </c>
      <c r="C51" s="94">
        <f t="shared" si="12"/>
        <v>0</v>
      </c>
      <c r="D51" s="94">
        <f t="shared" si="2"/>
        <v>0</v>
      </c>
      <c r="E51" s="94">
        <f t="shared" si="7"/>
        <v>0</v>
      </c>
      <c r="F51" s="94">
        <f t="shared" si="8"/>
        <v>0</v>
      </c>
      <c r="G51" s="94">
        <f t="shared" si="13"/>
        <v>0</v>
      </c>
      <c r="H51" s="94">
        <f t="shared" si="9"/>
        <v>0</v>
      </c>
      <c r="I51" s="94">
        <f t="shared" si="3"/>
        <v>0</v>
      </c>
      <c r="J51" s="94"/>
      <c r="K51" s="94"/>
      <c r="L51" s="94"/>
      <c r="M51" s="95">
        <f t="shared" si="11"/>
        <v>0</v>
      </c>
      <c r="N51" s="94">
        <f t="shared" si="4"/>
        <v>0</v>
      </c>
    </row>
    <row r="52" spans="1:14">
      <c r="A52" s="92">
        <v>32</v>
      </c>
      <c r="B52" s="93">
        <f t="shared" si="5"/>
        <v>44352</v>
      </c>
      <c r="C52" s="94">
        <f t="shared" si="12"/>
        <v>0</v>
      </c>
      <c r="D52" s="94">
        <f t="shared" si="2"/>
        <v>0</v>
      </c>
      <c r="E52" s="94">
        <f t="shared" si="7"/>
        <v>0</v>
      </c>
      <c r="F52" s="94">
        <f t="shared" si="8"/>
        <v>0</v>
      </c>
      <c r="G52" s="94">
        <f t="shared" si="13"/>
        <v>0</v>
      </c>
      <c r="H52" s="94">
        <f t="shared" si="9"/>
        <v>0</v>
      </c>
      <c r="I52" s="94">
        <f t="shared" si="3"/>
        <v>0</v>
      </c>
      <c r="J52" s="94"/>
      <c r="K52" s="94"/>
      <c r="L52" s="94"/>
      <c r="M52" s="95">
        <f t="shared" si="11"/>
        <v>0</v>
      </c>
      <c r="N52" s="94">
        <f t="shared" si="4"/>
        <v>0</v>
      </c>
    </row>
    <row r="53" spans="1:14">
      <c r="A53" s="92">
        <v>33</v>
      </c>
      <c r="B53" s="93">
        <f t="shared" si="5"/>
        <v>44382</v>
      </c>
      <c r="C53" s="94">
        <f t="shared" si="12"/>
        <v>0</v>
      </c>
      <c r="D53" s="94">
        <f t="shared" si="2"/>
        <v>0</v>
      </c>
      <c r="E53" s="94">
        <f t="shared" si="7"/>
        <v>0</v>
      </c>
      <c r="F53" s="94">
        <f t="shared" si="8"/>
        <v>0</v>
      </c>
      <c r="G53" s="94">
        <f t="shared" si="13"/>
        <v>0</v>
      </c>
      <c r="H53" s="94">
        <f t="shared" si="9"/>
        <v>0</v>
      </c>
      <c r="I53" s="94">
        <f t="shared" si="3"/>
        <v>0</v>
      </c>
      <c r="J53" s="94"/>
      <c r="K53" s="94"/>
      <c r="L53" s="94"/>
      <c r="M53" s="95">
        <f t="shared" si="11"/>
        <v>0</v>
      </c>
      <c r="N53" s="94">
        <f t="shared" si="4"/>
        <v>0</v>
      </c>
    </row>
    <row r="54" spans="1:14">
      <c r="A54" s="92">
        <v>34</v>
      </c>
      <c r="B54" s="93">
        <f t="shared" si="5"/>
        <v>44413</v>
      </c>
      <c r="C54" s="94">
        <f t="shared" si="12"/>
        <v>0</v>
      </c>
      <c r="D54" s="94">
        <f t="shared" si="2"/>
        <v>0</v>
      </c>
      <c r="E54" s="94">
        <f t="shared" si="7"/>
        <v>0</v>
      </c>
      <c r="F54" s="94">
        <f t="shared" si="8"/>
        <v>0</v>
      </c>
      <c r="G54" s="94">
        <f t="shared" si="13"/>
        <v>0</v>
      </c>
      <c r="H54" s="94">
        <f t="shared" si="9"/>
        <v>0</v>
      </c>
      <c r="I54" s="94">
        <f t="shared" si="3"/>
        <v>0</v>
      </c>
      <c r="J54" s="94"/>
      <c r="K54" s="94"/>
      <c r="L54" s="94"/>
      <c r="M54" s="95">
        <f t="shared" si="11"/>
        <v>0</v>
      </c>
      <c r="N54" s="94">
        <f t="shared" si="4"/>
        <v>0</v>
      </c>
    </row>
    <row r="55" spans="1:14">
      <c r="A55" s="92">
        <v>35</v>
      </c>
      <c r="B55" s="93">
        <f t="shared" si="5"/>
        <v>44444</v>
      </c>
      <c r="C55" s="94">
        <f t="shared" si="12"/>
        <v>0</v>
      </c>
      <c r="D55" s="94">
        <f t="shared" si="2"/>
        <v>0</v>
      </c>
      <c r="E55" s="94">
        <f t="shared" si="7"/>
        <v>0</v>
      </c>
      <c r="F55" s="94">
        <f t="shared" si="8"/>
        <v>0</v>
      </c>
      <c r="G55" s="94">
        <f t="shared" si="13"/>
        <v>0</v>
      </c>
      <c r="H55" s="94">
        <f t="shared" si="9"/>
        <v>0</v>
      </c>
      <c r="I55" s="94">
        <f t="shared" si="3"/>
        <v>0</v>
      </c>
      <c r="J55" s="94"/>
      <c r="K55" s="94"/>
      <c r="L55" s="94"/>
      <c r="M55" s="95">
        <f t="shared" si="11"/>
        <v>0</v>
      </c>
      <c r="N55" s="94">
        <f t="shared" si="4"/>
        <v>0</v>
      </c>
    </row>
    <row r="56" spans="1:14">
      <c r="A56" s="92">
        <v>36</v>
      </c>
      <c r="B56" s="93">
        <f t="shared" si="5"/>
        <v>44474</v>
      </c>
      <c r="C56" s="94">
        <f t="shared" si="12"/>
        <v>0</v>
      </c>
      <c r="D56" s="94">
        <f t="shared" si="2"/>
        <v>0</v>
      </c>
      <c r="E56" s="94">
        <f t="shared" si="7"/>
        <v>0</v>
      </c>
      <c r="F56" s="94">
        <f t="shared" si="8"/>
        <v>0</v>
      </c>
      <c r="G56" s="94">
        <f t="shared" si="13"/>
        <v>0</v>
      </c>
      <c r="H56" s="94">
        <f t="shared" si="9"/>
        <v>0</v>
      </c>
      <c r="I56" s="94">
        <f t="shared" si="3"/>
        <v>0</v>
      </c>
      <c r="J56" s="94"/>
      <c r="K56" s="94"/>
      <c r="L56" s="94"/>
      <c r="M56" s="95">
        <f t="shared" si="11"/>
        <v>0</v>
      </c>
      <c r="N56" s="94">
        <f t="shared" si="4"/>
        <v>0</v>
      </c>
    </row>
    <row r="57" spans="1:14">
      <c r="A57" s="92">
        <v>37</v>
      </c>
      <c r="B57" s="93">
        <f t="shared" si="5"/>
        <v>44505</v>
      </c>
      <c r="C57" s="94">
        <f t="shared" si="12"/>
        <v>0</v>
      </c>
      <c r="D57" s="94">
        <f t="shared" si="2"/>
        <v>0</v>
      </c>
      <c r="E57" s="94">
        <f t="shared" si="7"/>
        <v>0</v>
      </c>
      <c r="F57" s="94">
        <f t="shared" si="8"/>
        <v>0</v>
      </c>
      <c r="G57" s="94">
        <f t="shared" si="13"/>
        <v>0</v>
      </c>
      <c r="H57" s="94">
        <f t="shared" si="9"/>
        <v>0</v>
      </c>
      <c r="I57" s="94">
        <f t="shared" si="3"/>
        <v>0</v>
      </c>
      <c r="J57" s="94"/>
      <c r="K57" s="94"/>
      <c r="L57" s="94"/>
      <c r="M57" s="95">
        <f t="shared" si="11"/>
        <v>0</v>
      </c>
      <c r="N57" s="94">
        <f t="shared" si="4"/>
        <v>0</v>
      </c>
    </row>
    <row r="58" spans="1:14">
      <c r="A58" s="92">
        <v>38</v>
      </c>
      <c r="B58" s="93">
        <f t="shared" si="5"/>
        <v>44535</v>
      </c>
      <c r="C58" s="94">
        <f t="shared" si="12"/>
        <v>0</v>
      </c>
      <c r="D58" s="94">
        <f t="shared" si="2"/>
        <v>0</v>
      </c>
      <c r="E58" s="94">
        <f t="shared" si="7"/>
        <v>0</v>
      </c>
      <c r="F58" s="94">
        <f t="shared" si="8"/>
        <v>0</v>
      </c>
      <c r="G58" s="94">
        <f t="shared" si="13"/>
        <v>0</v>
      </c>
      <c r="H58" s="94">
        <f t="shared" si="9"/>
        <v>0</v>
      </c>
      <c r="I58" s="94">
        <f t="shared" si="3"/>
        <v>0</v>
      </c>
      <c r="J58" s="94"/>
      <c r="K58" s="94"/>
      <c r="L58" s="94"/>
      <c r="M58" s="95">
        <f t="shared" si="11"/>
        <v>0</v>
      </c>
      <c r="N58" s="94">
        <f t="shared" si="4"/>
        <v>0</v>
      </c>
    </row>
    <row r="59" spans="1:14">
      <c r="A59" s="92">
        <v>39</v>
      </c>
      <c r="B59" s="93">
        <f t="shared" si="5"/>
        <v>44566</v>
      </c>
      <c r="C59" s="94">
        <f t="shared" si="12"/>
        <v>0</v>
      </c>
      <c r="D59" s="94">
        <f t="shared" si="2"/>
        <v>0</v>
      </c>
      <c r="E59" s="94">
        <f t="shared" si="7"/>
        <v>0</v>
      </c>
      <c r="F59" s="94">
        <f t="shared" si="8"/>
        <v>0</v>
      </c>
      <c r="G59" s="94">
        <f t="shared" si="13"/>
        <v>0</v>
      </c>
      <c r="H59" s="94">
        <f t="shared" si="9"/>
        <v>0</v>
      </c>
      <c r="I59" s="94">
        <f t="shared" si="3"/>
        <v>0</v>
      </c>
      <c r="J59" s="94"/>
      <c r="K59" s="94"/>
      <c r="L59" s="94"/>
      <c r="M59" s="95">
        <f t="shared" si="11"/>
        <v>0</v>
      </c>
      <c r="N59" s="94">
        <f t="shared" si="4"/>
        <v>0</v>
      </c>
    </row>
    <row r="60" spans="1:14">
      <c r="A60" s="92">
        <v>40</v>
      </c>
      <c r="B60" s="93">
        <f t="shared" si="5"/>
        <v>44597</v>
      </c>
      <c r="C60" s="94">
        <f t="shared" si="12"/>
        <v>0</v>
      </c>
      <c r="D60" s="94">
        <f t="shared" si="2"/>
        <v>0</v>
      </c>
      <c r="E60" s="94">
        <f t="shared" si="7"/>
        <v>0</v>
      </c>
      <c r="F60" s="94">
        <f t="shared" si="8"/>
        <v>0</v>
      </c>
      <c r="G60" s="94">
        <f t="shared" si="13"/>
        <v>0</v>
      </c>
      <c r="H60" s="94">
        <f t="shared" si="9"/>
        <v>0</v>
      </c>
      <c r="I60" s="94">
        <f t="shared" si="3"/>
        <v>0</v>
      </c>
      <c r="J60" s="94"/>
      <c r="K60" s="94"/>
      <c r="L60" s="94"/>
      <c r="M60" s="95">
        <f t="shared" si="11"/>
        <v>0</v>
      </c>
      <c r="N60" s="94">
        <f t="shared" si="4"/>
        <v>0</v>
      </c>
    </row>
    <row r="61" spans="1:14">
      <c r="A61" s="92">
        <v>41</v>
      </c>
      <c r="B61" s="93">
        <f t="shared" si="5"/>
        <v>44625</v>
      </c>
      <c r="C61" s="94">
        <f t="shared" si="12"/>
        <v>0</v>
      </c>
      <c r="D61" s="94">
        <f t="shared" si="2"/>
        <v>0</v>
      </c>
      <c r="E61" s="94">
        <f t="shared" si="7"/>
        <v>0</v>
      </c>
      <c r="F61" s="94">
        <f t="shared" si="8"/>
        <v>0</v>
      </c>
      <c r="G61" s="94">
        <f t="shared" si="13"/>
        <v>0</v>
      </c>
      <c r="H61" s="94">
        <f t="shared" si="9"/>
        <v>0</v>
      </c>
      <c r="I61" s="94">
        <f t="shared" si="3"/>
        <v>0</v>
      </c>
      <c r="J61" s="94"/>
      <c r="K61" s="94"/>
      <c r="L61" s="94"/>
      <c r="M61" s="95">
        <f t="shared" si="11"/>
        <v>0</v>
      </c>
      <c r="N61" s="94">
        <f t="shared" si="4"/>
        <v>0</v>
      </c>
    </row>
    <row r="62" spans="1:14">
      <c r="A62" s="92">
        <v>42</v>
      </c>
      <c r="B62" s="93">
        <f t="shared" si="5"/>
        <v>44656</v>
      </c>
      <c r="C62" s="94">
        <f t="shared" si="12"/>
        <v>0</v>
      </c>
      <c r="D62" s="94">
        <f t="shared" si="2"/>
        <v>0</v>
      </c>
      <c r="E62" s="94">
        <f t="shared" si="7"/>
        <v>0</v>
      </c>
      <c r="F62" s="94">
        <f t="shared" si="8"/>
        <v>0</v>
      </c>
      <c r="G62" s="94">
        <f t="shared" si="13"/>
        <v>0</v>
      </c>
      <c r="H62" s="94">
        <f t="shared" si="9"/>
        <v>0</v>
      </c>
      <c r="I62" s="94">
        <f t="shared" si="3"/>
        <v>0</v>
      </c>
      <c r="J62" s="94"/>
      <c r="K62" s="94"/>
      <c r="L62" s="94"/>
      <c r="M62" s="95">
        <f t="shared" si="11"/>
        <v>0</v>
      </c>
      <c r="N62" s="94">
        <f t="shared" si="4"/>
        <v>0</v>
      </c>
    </row>
    <row r="63" spans="1:14">
      <c r="A63" s="92">
        <v>43</v>
      </c>
      <c r="B63" s="93">
        <f t="shared" si="5"/>
        <v>44686</v>
      </c>
      <c r="C63" s="94">
        <f t="shared" si="12"/>
        <v>0</v>
      </c>
      <c r="D63" s="94">
        <f t="shared" si="2"/>
        <v>0</v>
      </c>
      <c r="E63" s="94">
        <f t="shared" si="7"/>
        <v>0</v>
      </c>
      <c r="F63" s="94">
        <f t="shared" si="8"/>
        <v>0</v>
      </c>
      <c r="G63" s="94">
        <f t="shared" si="13"/>
        <v>0</v>
      </c>
      <c r="H63" s="94">
        <f t="shared" si="9"/>
        <v>0</v>
      </c>
      <c r="I63" s="94">
        <f t="shared" si="3"/>
        <v>0</v>
      </c>
      <c r="J63" s="94"/>
      <c r="K63" s="94"/>
      <c r="L63" s="94"/>
      <c r="M63" s="95">
        <f t="shared" si="11"/>
        <v>0</v>
      </c>
      <c r="N63" s="94">
        <f t="shared" si="4"/>
        <v>0</v>
      </c>
    </row>
    <row r="64" spans="1:14">
      <c r="A64" s="92">
        <v>44</v>
      </c>
      <c r="B64" s="93">
        <f t="shared" si="5"/>
        <v>44717</v>
      </c>
      <c r="C64" s="94">
        <f t="shared" si="12"/>
        <v>0</v>
      </c>
      <c r="D64" s="94">
        <f t="shared" si="2"/>
        <v>0</v>
      </c>
      <c r="E64" s="94">
        <f t="shared" si="7"/>
        <v>0</v>
      </c>
      <c r="F64" s="94">
        <f t="shared" si="8"/>
        <v>0</v>
      </c>
      <c r="G64" s="94">
        <f t="shared" si="13"/>
        <v>0</v>
      </c>
      <c r="H64" s="94">
        <f t="shared" si="9"/>
        <v>0</v>
      </c>
      <c r="I64" s="94">
        <f t="shared" si="3"/>
        <v>0</v>
      </c>
      <c r="J64" s="94"/>
      <c r="K64" s="94"/>
      <c r="L64" s="94"/>
      <c r="M64" s="95">
        <f t="shared" si="11"/>
        <v>0</v>
      </c>
      <c r="N64" s="94">
        <f t="shared" si="4"/>
        <v>0</v>
      </c>
    </row>
    <row r="65" spans="1:14">
      <c r="A65" s="92">
        <v>45</v>
      </c>
      <c r="B65" s="93">
        <f t="shared" si="5"/>
        <v>44747</v>
      </c>
      <c r="C65" s="94">
        <f t="shared" si="12"/>
        <v>0</v>
      </c>
      <c r="D65" s="94">
        <f t="shared" si="2"/>
        <v>0</v>
      </c>
      <c r="E65" s="94">
        <f t="shared" si="7"/>
        <v>0</v>
      </c>
      <c r="F65" s="94">
        <f t="shared" si="8"/>
        <v>0</v>
      </c>
      <c r="G65" s="94">
        <f t="shared" si="13"/>
        <v>0</v>
      </c>
      <c r="H65" s="94">
        <f t="shared" si="9"/>
        <v>0</v>
      </c>
      <c r="I65" s="94">
        <f t="shared" si="3"/>
        <v>0</v>
      </c>
      <c r="J65" s="94"/>
      <c r="K65" s="94"/>
      <c r="L65" s="94"/>
      <c r="M65" s="95">
        <f t="shared" si="11"/>
        <v>0</v>
      </c>
      <c r="N65" s="94">
        <f t="shared" si="4"/>
        <v>0</v>
      </c>
    </row>
    <row r="66" spans="1:14">
      <c r="A66" s="92">
        <v>46</v>
      </c>
      <c r="B66" s="93">
        <f t="shared" si="5"/>
        <v>44778</v>
      </c>
      <c r="C66" s="94">
        <f t="shared" si="12"/>
        <v>0</v>
      </c>
      <c r="D66" s="94">
        <f t="shared" si="2"/>
        <v>0</v>
      </c>
      <c r="E66" s="94">
        <f t="shared" si="7"/>
        <v>0</v>
      </c>
      <c r="F66" s="94">
        <f t="shared" si="8"/>
        <v>0</v>
      </c>
      <c r="G66" s="94">
        <f t="shared" si="13"/>
        <v>0</v>
      </c>
      <c r="H66" s="94">
        <f t="shared" si="9"/>
        <v>0</v>
      </c>
      <c r="I66" s="94">
        <f t="shared" si="3"/>
        <v>0</v>
      </c>
      <c r="J66" s="94"/>
      <c r="K66" s="94"/>
      <c r="L66" s="94"/>
      <c r="M66" s="95">
        <f t="shared" si="11"/>
        <v>0</v>
      </c>
      <c r="N66" s="94">
        <f t="shared" si="4"/>
        <v>0</v>
      </c>
    </row>
    <row r="67" spans="1:14">
      <c r="A67" s="92">
        <v>47</v>
      </c>
      <c r="B67" s="93">
        <f t="shared" si="5"/>
        <v>44809</v>
      </c>
      <c r="C67" s="94">
        <f t="shared" si="12"/>
        <v>0</v>
      </c>
      <c r="D67" s="94">
        <f t="shared" si="2"/>
        <v>0</v>
      </c>
      <c r="E67" s="94">
        <f t="shared" si="7"/>
        <v>0</v>
      </c>
      <c r="F67" s="94">
        <f t="shared" si="8"/>
        <v>0</v>
      </c>
      <c r="G67" s="94">
        <f t="shared" si="13"/>
        <v>0</v>
      </c>
      <c r="H67" s="94">
        <f t="shared" si="9"/>
        <v>0</v>
      </c>
      <c r="I67" s="94">
        <f t="shared" si="3"/>
        <v>0</v>
      </c>
      <c r="J67" s="94"/>
      <c r="K67" s="94"/>
      <c r="L67" s="94"/>
      <c r="M67" s="95">
        <f t="shared" si="11"/>
        <v>0</v>
      </c>
      <c r="N67" s="94">
        <f t="shared" si="4"/>
        <v>0</v>
      </c>
    </row>
    <row r="68" spans="1:14">
      <c r="A68" s="92">
        <v>48</v>
      </c>
      <c r="B68" s="93">
        <f t="shared" si="5"/>
        <v>44839</v>
      </c>
      <c r="C68" s="94">
        <f t="shared" si="12"/>
        <v>0</v>
      </c>
      <c r="D68" s="94">
        <f t="shared" si="2"/>
        <v>0</v>
      </c>
      <c r="E68" s="94">
        <f t="shared" si="7"/>
        <v>0</v>
      </c>
      <c r="F68" s="94">
        <f t="shared" si="8"/>
        <v>0</v>
      </c>
      <c r="G68" s="94">
        <f t="shared" si="13"/>
        <v>0</v>
      </c>
      <c r="H68" s="94">
        <f t="shared" si="9"/>
        <v>0</v>
      </c>
      <c r="I68" s="94">
        <f t="shared" si="3"/>
        <v>0</v>
      </c>
      <c r="J68" s="94"/>
      <c r="K68" s="94"/>
      <c r="L68" s="94"/>
      <c r="M68" s="95">
        <f t="shared" si="11"/>
        <v>0</v>
      </c>
      <c r="N68" s="94">
        <f t="shared" si="4"/>
        <v>0</v>
      </c>
    </row>
    <row r="69" spans="1:14">
      <c r="A69" s="92">
        <v>49</v>
      </c>
      <c r="B69" s="93">
        <f t="shared" si="5"/>
        <v>44870</v>
      </c>
      <c r="C69" s="94">
        <f t="shared" si="12"/>
        <v>0</v>
      </c>
      <c r="D69" s="94">
        <f t="shared" si="2"/>
        <v>0</v>
      </c>
      <c r="E69" s="94">
        <f t="shared" si="7"/>
        <v>0</v>
      </c>
      <c r="F69" s="94">
        <f t="shared" si="8"/>
        <v>0</v>
      </c>
      <c r="G69" s="94">
        <f t="shared" si="13"/>
        <v>0</v>
      </c>
      <c r="H69" s="94">
        <f t="shared" si="9"/>
        <v>0</v>
      </c>
      <c r="I69" s="94">
        <f t="shared" si="3"/>
        <v>0</v>
      </c>
      <c r="J69" s="94"/>
      <c r="K69" s="94"/>
      <c r="L69" s="94"/>
      <c r="M69" s="95">
        <f t="shared" si="11"/>
        <v>0</v>
      </c>
      <c r="N69" s="94">
        <f t="shared" si="4"/>
        <v>0</v>
      </c>
    </row>
    <row r="70" spans="1:14">
      <c r="A70" s="92">
        <v>50</v>
      </c>
      <c r="B70" s="93">
        <f t="shared" si="5"/>
        <v>44900</v>
      </c>
      <c r="C70" s="94">
        <f t="shared" si="12"/>
        <v>0</v>
      </c>
      <c r="D70" s="94">
        <f t="shared" si="2"/>
        <v>0</v>
      </c>
      <c r="E70" s="94">
        <f t="shared" si="7"/>
        <v>0</v>
      </c>
      <c r="F70" s="94">
        <f t="shared" si="8"/>
        <v>0</v>
      </c>
      <c r="G70" s="94">
        <f t="shared" si="13"/>
        <v>0</v>
      </c>
      <c r="H70" s="94">
        <f t="shared" si="9"/>
        <v>0</v>
      </c>
      <c r="I70" s="94">
        <f t="shared" si="3"/>
        <v>0</v>
      </c>
      <c r="J70" s="94"/>
      <c r="K70" s="94"/>
      <c r="L70" s="94"/>
      <c r="M70" s="95">
        <f t="shared" si="11"/>
        <v>0</v>
      </c>
      <c r="N70" s="94">
        <f t="shared" si="4"/>
        <v>0</v>
      </c>
    </row>
    <row r="71" spans="1:14">
      <c r="A71" s="92">
        <v>51</v>
      </c>
      <c r="B71" s="93">
        <f t="shared" si="5"/>
        <v>44931</v>
      </c>
      <c r="C71" s="94">
        <f t="shared" si="12"/>
        <v>0</v>
      </c>
      <c r="D71" s="94">
        <f t="shared" si="2"/>
        <v>0</v>
      </c>
      <c r="E71" s="94">
        <f t="shared" si="7"/>
        <v>0</v>
      </c>
      <c r="F71" s="94">
        <f t="shared" si="8"/>
        <v>0</v>
      </c>
      <c r="G71" s="94">
        <f t="shared" si="13"/>
        <v>0</v>
      </c>
      <c r="H71" s="94">
        <f t="shared" si="9"/>
        <v>0</v>
      </c>
      <c r="I71" s="94">
        <f t="shared" si="3"/>
        <v>0</v>
      </c>
      <c r="J71" s="94"/>
      <c r="K71" s="94"/>
      <c r="L71" s="94"/>
      <c r="M71" s="95">
        <f t="shared" si="11"/>
        <v>0</v>
      </c>
      <c r="N71" s="94">
        <f t="shared" si="4"/>
        <v>0</v>
      </c>
    </row>
    <row r="72" spans="1:14">
      <c r="A72" s="92">
        <v>52</v>
      </c>
      <c r="B72" s="93">
        <f t="shared" si="5"/>
        <v>44962</v>
      </c>
      <c r="C72" s="94">
        <f t="shared" si="12"/>
        <v>0</v>
      </c>
      <c r="D72" s="94">
        <f t="shared" si="2"/>
        <v>0</v>
      </c>
      <c r="E72" s="94">
        <f t="shared" si="7"/>
        <v>0</v>
      </c>
      <c r="F72" s="94">
        <f t="shared" ref="F72:F104" si="14">IF(A72&lt;=$F$7,$F$5*VLOOKUP(ROUNDUP(A72/12,0),$O$7:$Q$14,3,0)/12,0)</f>
        <v>0</v>
      </c>
      <c r="G72" s="94">
        <f t="shared" si="13"/>
        <v>0</v>
      </c>
      <c r="H72" s="94">
        <f t="shared" si="9"/>
        <v>0</v>
      </c>
      <c r="I72" s="94">
        <f t="shared" si="3"/>
        <v>0</v>
      </c>
      <c r="J72" s="94"/>
      <c r="K72" s="94"/>
      <c r="L72" s="94">
        <v>0</v>
      </c>
      <c r="M72" s="95">
        <f t="shared" si="11"/>
        <v>0</v>
      </c>
      <c r="N72" s="94">
        <f t="shared" si="4"/>
        <v>0</v>
      </c>
    </row>
    <row r="73" spans="1:14">
      <c r="A73" s="92">
        <v>53</v>
      </c>
      <c r="B73" s="93">
        <f t="shared" si="5"/>
        <v>44990</v>
      </c>
      <c r="C73" s="94">
        <f t="shared" si="12"/>
        <v>0</v>
      </c>
      <c r="D73" s="94">
        <f t="shared" si="2"/>
        <v>0</v>
      </c>
      <c r="E73" s="94">
        <f t="shared" si="7"/>
        <v>0</v>
      </c>
      <c r="F73" s="94">
        <f t="shared" si="14"/>
        <v>0</v>
      </c>
      <c r="G73" s="94">
        <f t="shared" si="13"/>
        <v>0</v>
      </c>
      <c r="H73" s="94">
        <f t="shared" si="9"/>
        <v>0</v>
      </c>
      <c r="I73" s="94">
        <f t="shared" si="3"/>
        <v>0</v>
      </c>
      <c r="J73" s="94"/>
      <c r="K73" s="94"/>
      <c r="L73" s="94"/>
      <c r="M73" s="95">
        <f t="shared" si="11"/>
        <v>0</v>
      </c>
      <c r="N73" s="94">
        <f t="shared" si="4"/>
        <v>0</v>
      </c>
    </row>
    <row r="74" spans="1:14">
      <c r="A74" s="92">
        <v>54</v>
      </c>
      <c r="B74" s="93">
        <f t="shared" si="5"/>
        <v>45021</v>
      </c>
      <c r="C74" s="94">
        <f t="shared" si="12"/>
        <v>0</v>
      </c>
      <c r="D74" s="94">
        <f t="shared" si="2"/>
        <v>0</v>
      </c>
      <c r="E74" s="94">
        <f t="shared" si="7"/>
        <v>0</v>
      </c>
      <c r="F74" s="94">
        <f t="shared" si="14"/>
        <v>0</v>
      </c>
      <c r="G74" s="94">
        <f t="shared" si="13"/>
        <v>0</v>
      </c>
      <c r="H74" s="94">
        <f t="shared" si="9"/>
        <v>0</v>
      </c>
      <c r="I74" s="94">
        <f t="shared" si="3"/>
        <v>0</v>
      </c>
      <c r="J74" s="94"/>
      <c r="K74" s="94"/>
      <c r="L74" s="94"/>
      <c r="M74" s="95">
        <f t="shared" si="11"/>
        <v>0</v>
      </c>
      <c r="N74" s="94">
        <f t="shared" si="4"/>
        <v>0</v>
      </c>
    </row>
    <row r="75" spans="1:14">
      <c r="A75" s="92">
        <v>55</v>
      </c>
      <c r="B75" s="93">
        <f t="shared" si="5"/>
        <v>45051</v>
      </c>
      <c r="C75" s="94">
        <f t="shared" si="12"/>
        <v>0</v>
      </c>
      <c r="D75" s="94">
        <f t="shared" si="2"/>
        <v>0</v>
      </c>
      <c r="E75" s="94">
        <f t="shared" si="7"/>
        <v>0</v>
      </c>
      <c r="F75" s="94">
        <f t="shared" si="14"/>
        <v>0</v>
      </c>
      <c r="G75" s="94">
        <f t="shared" si="13"/>
        <v>0</v>
      </c>
      <c r="H75" s="94">
        <f t="shared" si="9"/>
        <v>0</v>
      </c>
      <c r="I75" s="94">
        <f t="shared" si="3"/>
        <v>0</v>
      </c>
      <c r="J75" s="94"/>
      <c r="K75" s="94"/>
      <c r="L75" s="94"/>
      <c r="M75" s="95">
        <f t="shared" si="11"/>
        <v>0</v>
      </c>
      <c r="N75" s="94">
        <f t="shared" si="4"/>
        <v>0</v>
      </c>
    </row>
    <row r="76" spans="1:14">
      <c r="A76" s="92">
        <v>56</v>
      </c>
      <c r="B76" s="93">
        <f t="shared" si="5"/>
        <v>45082</v>
      </c>
      <c r="C76" s="94">
        <f t="shared" si="12"/>
        <v>0</v>
      </c>
      <c r="D76" s="94">
        <f t="shared" si="2"/>
        <v>0</v>
      </c>
      <c r="E76" s="94">
        <f t="shared" si="7"/>
        <v>0</v>
      </c>
      <c r="F76" s="94">
        <f t="shared" si="14"/>
        <v>0</v>
      </c>
      <c r="G76" s="94">
        <f t="shared" si="13"/>
        <v>0</v>
      </c>
      <c r="H76" s="94">
        <f t="shared" si="9"/>
        <v>0</v>
      </c>
      <c r="I76" s="94">
        <f t="shared" si="3"/>
        <v>0</v>
      </c>
      <c r="J76" s="94"/>
      <c r="K76" s="94"/>
      <c r="L76" s="94"/>
      <c r="M76" s="95">
        <f t="shared" si="11"/>
        <v>0</v>
      </c>
      <c r="N76" s="94">
        <f t="shared" si="4"/>
        <v>0</v>
      </c>
    </row>
    <row r="77" spans="1:14">
      <c r="A77" s="92">
        <v>57</v>
      </c>
      <c r="B77" s="93">
        <f t="shared" si="5"/>
        <v>45112</v>
      </c>
      <c r="C77" s="94">
        <f t="shared" si="12"/>
        <v>0</v>
      </c>
      <c r="D77" s="94">
        <f t="shared" si="2"/>
        <v>0</v>
      </c>
      <c r="E77" s="94">
        <f t="shared" si="7"/>
        <v>0</v>
      </c>
      <c r="F77" s="94">
        <f t="shared" si="14"/>
        <v>0</v>
      </c>
      <c r="G77" s="94">
        <f t="shared" si="13"/>
        <v>0</v>
      </c>
      <c r="H77" s="94">
        <f t="shared" si="9"/>
        <v>0</v>
      </c>
      <c r="I77" s="94">
        <f t="shared" si="3"/>
        <v>0</v>
      </c>
      <c r="J77" s="94"/>
      <c r="K77" s="94"/>
      <c r="L77" s="94"/>
      <c r="M77" s="95">
        <f t="shared" si="11"/>
        <v>0</v>
      </c>
      <c r="N77" s="94">
        <f t="shared" si="4"/>
        <v>0</v>
      </c>
    </row>
    <row r="78" spans="1:14">
      <c r="A78" s="92">
        <v>58</v>
      </c>
      <c r="B78" s="93">
        <f t="shared" si="5"/>
        <v>45143</v>
      </c>
      <c r="C78" s="94">
        <f t="shared" si="12"/>
        <v>0</v>
      </c>
      <c r="D78" s="94">
        <f t="shared" si="2"/>
        <v>0</v>
      </c>
      <c r="E78" s="94">
        <f t="shared" si="7"/>
        <v>0</v>
      </c>
      <c r="F78" s="94">
        <f t="shared" si="14"/>
        <v>0</v>
      </c>
      <c r="G78" s="94">
        <f t="shared" si="13"/>
        <v>0</v>
      </c>
      <c r="H78" s="94">
        <f t="shared" si="9"/>
        <v>0</v>
      </c>
      <c r="I78" s="94">
        <f t="shared" si="3"/>
        <v>0</v>
      </c>
      <c r="J78" s="94"/>
      <c r="K78" s="94"/>
      <c r="L78" s="94"/>
      <c r="M78" s="95">
        <f t="shared" si="11"/>
        <v>0</v>
      </c>
      <c r="N78" s="94">
        <f t="shared" si="4"/>
        <v>0</v>
      </c>
    </row>
    <row r="79" spans="1:14">
      <c r="A79" s="92">
        <v>59</v>
      </c>
      <c r="B79" s="93">
        <f t="shared" si="5"/>
        <v>45174</v>
      </c>
      <c r="C79" s="94">
        <f t="shared" si="12"/>
        <v>0</v>
      </c>
      <c r="D79" s="94">
        <f t="shared" si="2"/>
        <v>0</v>
      </c>
      <c r="E79" s="94">
        <f t="shared" si="7"/>
        <v>0</v>
      </c>
      <c r="F79" s="94">
        <f t="shared" si="14"/>
        <v>0</v>
      </c>
      <c r="G79" s="94">
        <f t="shared" si="13"/>
        <v>0</v>
      </c>
      <c r="H79" s="94">
        <f t="shared" si="9"/>
        <v>0</v>
      </c>
      <c r="I79" s="94">
        <f t="shared" si="3"/>
        <v>0</v>
      </c>
      <c r="J79" s="94"/>
      <c r="K79" s="94"/>
      <c r="L79" s="94"/>
      <c r="M79" s="95">
        <f t="shared" si="11"/>
        <v>0</v>
      </c>
      <c r="N79" s="94">
        <f t="shared" si="4"/>
        <v>0</v>
      </c>
    </row>
    <row r="80" spans="1:14">
      <c r="A80" s="92">
        <v>60</v>
      </c>
      <c r="B80" s="93">
        <f t="shared" si="5"/>
        <v>45204</v>
      </c>
      <c r="C80" s="94">
        <f t="shared" si="12"/>
        <v>0</v>
      </c>
      <c r="D80" s="94">
        <f t="shared" si="2"/>
        <v>0</v>
      </c>
      <c r="E80" s="94">
        <f t="shared" si="7"/>
        <v>0</v>
      </c>
      <c r="F80" s="94">
        <f t="shared" si="14"/>
        <v>0</v>
      </c>
      <c r="G80" s="94">
        <f t="shared" si="13"/>
        <v>0</v>
      </c>
      <c r="H80" s="94">
        <f t="shared" si="9"/>
        <v>0</v>
      </c>
      <c r="I80" s="94">
        <f t="shared" si="3"/>
        <v>0</v>
      </c>
      <c r="J80" s="94"/>
      <c r="K80" s="94"/>
      <c r="L80" s="94"/>
      <c r="M80" s="95">
        <f t="shared" si="11"/>
        <v>0</v>
      </c>
      <c r="N80" s="94">
        <f t="shared" si="4"/>
        <v>0</v>
      </c>
    </row>
    <row r="81" spans="1:14">
      <c r="A81" s="92">
        <v>61</v>
      </c>
      <c r="B81" s="93">
        <f t="shared" si="5"/>
        <v>45235</v>
      </c>
      <c r="C81" s="94">
        <f t="shared" si="12"/>
        <v>0</v>
      </c>
      <c r="D81" s="94">
        <f t="shared" si="2"/>
        <v>0</v>
      </c>
      <c r="E81" s="94">
        <f t="shared" si="7"/>
        <v>0</v>
      </c>
      <c r="F81" s="94">
        <f t="shared" si="14"/>
        <v>0</v>
      </c>
      <c r="G81" s="94">
        <f t="shared" si="13"/>
        <v>0</v>
      </c>
      <c r="H81" s="94">
        <f t="shared" si="9"/>
        <v>0</v>
      </c>
      <c r="I81" s="94">
        <f t="shared" si="3"/>
        <v>0</v>
      </c>
      <c r="J81" s="94"/>
      <c r="K81" s="94"/>
      <c r="L81" s="94"/>
      <c r="M81" s="95">
        <f t="shared" si="11"/>
        <v>0</v>
      </c>
      <c r="N81" s="94">
        <f t="shared" si="4"/>
        <v>0</v>
      </c>
    </row>
    <row r="82" spans="1:14">
      <c r="A82" s="92">
        <v>62</v>
      </c>
      <c r="B82" s="93">
        <f t="shared" si="5"/>
        <v>45265</v>
      </c>
      <c r="C82" s="94">
        <f t="shared" si="12"/>
        <v>0</v>
      </c>
      <c r="D82" s="94">
        <f t="shared" si="2"/>
        <v>0</v>
      </c>
      <c r="E82" s="94">
        <f t="shared" ref="E82:E104" si="15">D82*0.2</f>
        <v>0</v>
      </c>
      <c r="F82" s="94">
        <f t="shared" si="14"/>
        <v>0</v>
      </c>
      <c r="G82" s="94">
        <f t="shared" si="13"/>
        <v>0</v>
      </c>
      <c r="H82" s="94">
        <f t="shared" si="9"/>
        <v>0</v>
      </c>
      <c r="I82" s="94">
        <f t="shared" si="3"/>
        <v>0</v>
      </c>
      <c r="J82" s="94"/>
      <c r="K82" s="94"/>
      <c r="L82" s="94"/>
      <c r="M82" s="95">
        <f t="shared" si="11"/>
        <v>0</v>
      </c>
      <c r="N82" s="94">
        <f t="shared" si="4"/>
        <v>0</v>
      </c>
    </row>
    <row r="83" spans="1:14">
      <c r="A83" s="92">
        <v>63</v>
      </c>
      <c r="B83" s="93">
        <f t="shared" si="5"/>
        <v>45296</v>
      </c>
      <c r="C83" s="94">
        <f t="shared" si="12"/>
        <v>0</v>
      </c>
      <c r="D83" s="94">
        <f t="shared" si="2"/>
        <v>0</v>
      </c>
      <c r="E83" s="94">
        <f t="shared" si="15"/>
        <v>0</v>
      </c>
      <c r="F83" s="94">
        <f t="shared" si="14"/>
        <v>0</v>
      </c>
      <c r="G83" s="94">
        <f t="shared" si="13"/>
        <v>0</v>
      </c>
      <c r="H83" s="94">
        <f t="shared" si="9"/>
        <v>0</v>
      </c>
      <c r="I83" s="94">
        <f t="shared" si="3"/>
        <v>0</v>
      </c>
      <c r="J83" s="94"/>
      <c r="K83" s="94"/>
      <c r="L83" s="94"/>
      <c r="M83" s="95">
        <f t="shared" si="11"/>
        <v>0</v>
      </c>
      <c r="N83" s="94">
        <f t="shared" si="4"/>
        <v>0</v>
      </c>
    </row>
    <row r="84" spans="1:14">
      <c r="A84" s="92">
        <v>64</v>
      </c>
      <c r="B84" s="93">
        <f t="shared" si="5"/>
        <v>45327</v>
      </c>
      <c r="C84" s="94">
        <f t="shared" si="12"/>
        <v>0</v>
      </c>
      <c r="D84" s="94">
        <f t="shared" si="2"/>
        <v>0</v>
      </c>
      <c r="E84" s="94">
        <f t="shared" si="15"/>
        <v>0</v>
      </c>
      <c r="F84" s="94">
        <f t="shared" si="14"/>
        <v>0</v>
      </c>
      <c r="G84" s="94">
        <f t="shared" si="13"/>
        <v>0</v>
      </c>
      <c r="H84" s="94">
        <f t="shared" si="9"/>
        <v>0</v>
      </c>
      <c r="I84" s="94">
        <f t="shared" si="3"/>
        <v>0</v>
      </c>
      <c r="J84" s="94"/>
      <c r="K84" s="94"/>
      <c r="L84" s="94"/>
      <c r="M84" s="95">
        <f t="shared" si="11"/>
        <v>0</v>
      </c>
      <c r="N84" s="94">
        <f t="shared" si="4"/>
        <v>0</v>
      </c>
    </row>
    <row r="85" spans="1:14">
      <c r="A85" s="92">
        <v>65</v>
      </c>
      <c r="B85" s="93">
        <f t="shared" si="5"/>
        <v>45356</v>
      </c>
      <c r="C85" s="94">
        <f t="shared" si="12"/>
        <v>0</v>
      </c>
      <c r="D85" s="94">
        <f t="shared" ref="D85:D104" si="16">IF(A85&lt;=$F$7,IF($F$12=$I$9,$F$5*$F$13,N84*$F$14/12),0)+-IF(AND(A85&lt;=$M$9,$M$9&lt;&gt;0),$J$20/$M$9,0)+-IF(AND(A85&lt;=$M$10,$M$10&lt;&gt;0),$K$20/$M$10,0)</f>
        <v>0</v>
      </c>
      <c r="E85" s="94">
        <f t="shared" si="15"/>
        <v>0</v>
      </c>
      <c r="F85" s="94">
        <f t="shared" si="14"/>
        <v>0</v>
      </c>
      <c r="G85" s="94">
        <f t="shared" si="13"/>
        <v>0</v>
      </c>
      <c r="H85" s="94">
        <f t="shared" si="9"/>
        <v>0</v>
      </c>
      <c r="I85" s="94">
        <f t="shared" ref="I85:I104" si="17">C85*20/120</f>
        <v>0</v>
      </c>
      <c r="J85" s="94"/>
      <c r="K85" s="94"/>
      <c r="L85" s="94"/>
      <c r="M85" s="95">
        <f t="shared" si="11"/>
        <v>0</v>
      </c>
      <c r="N85" s="94">
        <f t="shared" ref="N85:N104" si="18">N84-C85</f>
        <v>0</v>
      </c>
    </row>
    <row r="86" spans="1:14">
      <c r="A86" s="92">
        <v>66</v>
      </c>
      <c r="B86" s="93">
        <f t="shared" ref="B86:B104" si="19">EOMONTH(B85,0)+DAY(B85)</f>
        <v>45387</v>
      </c>
      <c r="C86" s="94">
        <f t="shared" si="12"/>
        <v>0</v>
      </c>
      <c r="D86" s="94">
        <f t="shared" si="16"/>
        <v>0</v>
      </c>
      <c r="E86" s="94">
        <f t="shared" si="15"/>
        <v>0</v>
      </c>
      <c r="F86" s="94">
        <f t="shared" si="14"/>
        <v>0</v>
      </c>
      <c r="G86" s="94">
        <f t="shared" si="13"/>
        <v>0</v>
      </c>
      <c r="H86" s="94">
        <f t="shared" ref="H86:H104" si="20">SUM(C86:G86)+SUM(C86:G86)*$F$15</f>
        <v>0</v>
      </c>
      <c r="I86" s="94">
        <f t="shared" si="17"/>
        <v>0</v>
      </c>
      <c r="J86" s="94"/>
      <c r="K86" s="94"/>
      <c r="L86" s="94"/>
      <c r="M86" s="95">
        <f t="shared" si="11"/>
        <v>0</v>
      </c>
      <c r="N86" s="94">
        <f t="shared" si="18"/>
        <v>0</v>
      </c>
    </row>
    <row r="87" spans="1:14">
      <c r="A87" s="92">
        <v>67</v>
      </c>
      <c r="B87" s="93">
        <f t="shared" si="19"/>
        <v>45417</v>
      </c>
      <c r="C87" s="94">
        <f t="shared" si="12"/>
        <v>0</v>
      </c>
      <c r="D87" s="94">
        <f t="shared" si="16"/>
        <v>0</v>
      </c>
      <c r="E87" s="94">
        <f t="shared" si="15"/>
        <v>0</v>
      </c>
      <c r="F87" s="94">
        <f t="shared" si="14"/>
        <v>0</v>
      </c>
      <c r="G87" s="94">
        <f t="shared" si="13"/>
        <v>0</v>
      </c>
      <c r="H87" s="94">
        <f t="shared" si="20"/>
        <v>0</v>
      </c>
      <c r="I87" s="94">
        <f t="shared" si="17"/>
        <v>0</v>
      </c>
      <c r="J87" s="94"/>
      <c r="K87" s="94"/>
      <c r="L87" s="94"/>
      <c r="M87" s="95">
        <f t="shared" si="11"/>
        <v>0</v>
      </c>
      <c r="N87" s="94">
        <f t="shared" si="18"/>
        <v>0</v>
      </c>
    </row>
    <row r="88" spans="1:14">
      <c r="A88" s="92">
        <v>68</v>
      </c>
      <c r="B88" s="93">
        <f t="shared" si="19"/>
        <v>45448</v>
      </c>
      <c r="C88" s="94">
        <f t="shared" si="12"/>
        <v>0</v>
      </c>
      <c r="D88" s="94">
        <f t="shared" si="16"/>
        <v>0</v>
      </c>
      <c r="E88" s="94">
        <f t="shared" si="15"/>
        <v>0</v>
      </c>
      <c r="F88" s="94">
        <f t="shared" si="14"/>
        <v>0</v>
      </c>
      <c r="G88" s="94">
        <f t="shared" si="13"/>
        <v>0</v>
      </c>
      <c r="H88" s="94">
        <f t="shared" si="20"/>
        <v>0</v>
      </c>
      <c r="I88" s="94">
        <f t="shared" si="17"/>
        <v>0</v>
      </c>
      <c r="J88" s="94"/>
      <c r="K88" s="94"/>
      <c r="L88" s="94"/>
      <c r="M88" s="95">
        <f t="shared" si="11"/>
        <v>0</v>
      </c>
      <c r="N88" s="94">
        <f t="shared" si="18"/>
        <v>0</v>
      </c>
    </row>
    <row r="89" spans="1:14">
      <c r="A89" s="92">
        <v>69</v>
      </c>
      <c r="B89" s="93">
        <f t="shared" si="19"/>
        <v>45478</v>
      </c>
      <c r="C89" s="94">
        <f t="shared" si="12"/>
        <v>0</v>
      </c>
      <c r="D89" s="94">
        <f t="shared" si="16"/>
        <v>0</v>
      </c>
      <c r="E89" s="94">
        <f t="shared" si="15"/>
        <v>0</v>
      </c>
      <c r="F89" s="94">
        <f t="shared" si="14"/>
        <v>0</v>
      </c>
      <c r="G89" s="94">
        <f t="shared" si="13"/>
        <v>0</v>
      </c>
      <c r="H89" s="94">
        <f t="shared" si="20"/>
        <v>0</v>
      </c>
      <c r="I89" s="94">
        <f t="shared" si="17"/>
        <v>0</v>
      </c>
      <c r="J89" s="94"/>
      <c r="K89" s="94"/>
      <c r="L89" s="94"/>
      <c r="M89" s="95">
        <f t="shared" si="11"/>
        <v>0</v>
      </c>
      <c r="N89" s="94">
        <f t="shared" si="18"/>
        <v>0</v>
      </c>
    </row>
    <row r="90" spans="1:14">
      <c r="A90" s="92">
        <v>70</v>
      </c>
      <c r="B90" s="93">
        <f t="shared" si="19"/>
        <v>45509</v>
      </c>
      <c r="C90" s="94">
        <f t="shared" si="12"/>
        <v>0</v>
      </c>
      <c r="D90" s="94">
        <f t="shared" si="16"/>
        <v>0</v>
      </c>
      <c r="E90" s="94">
        <f t="shared" si="15"/>
        <v>0</v>
      </c>
      <c r="F90" s="94">
        <f t="shared" si="14"/>
        <v>0</v>
      </c>
      <c r="G90" s="94">
        <f t="shared" si="13"/>
        <v>0</v>
      </c>
      <c r="H90" s="94">
        <f t="shared" si="20"/>
        <v>0</v>
      </c>
      <c r="I90" s="94">
        <f t="shared" si="17"/>
        <v>0</v>
      </c>
      <c r="J90" s="94"/>
      <c r="K90" s="94"/>
      <c r="L90" s="94"/>
      <c r="M90" s="95">
        <f t="shared" si="11"/>
        <v>0</v>
      </c>
      <c r="N90" s="94">
        <f t="shared" si="18"/>
        <v>0</v>
      </c>
    </row>
    <row r="91" spans="1:14">
      <c r="A91" s="92">
        <v>71</v>
      </c>
      <c r="B91" s="93">
        <f t="shared" si="19"/>
        <v>45540</v>
      </c>
      <c r="C91" s="94">
        <f t="shared" si="12"/>
        <v>0</v>
      </c>
      <c r="D91" s="94">
        <f t="shared" si="16"/>
        <v>0</v>
      </c>
      <c r="E91" s="94">
        <f t="shared" si="15"/>
        <v>0</v>
      </c>
      <c r="F91" s="94">
        <f t="shared" si="14"/>
        <v>0</v>
      </c>
      <c r="G91" s="94">
        <f t="shared" si="13"/>
        <v>0</v>
      </c>
      <c r="H91" s="94">
        <f t="shared" si="20"/>
        <v>0</v>
      </c>
      <c r="I91" s="94">
        <f t="shared" si="17"/>
        <v>0</v>
      </c>
      <c r="J91" s="94"/>
      <c r="K91" s="94"/>
      <c r="L91" s="94"/>
      <c r="M91" s="95">
        <f t="shared" si="11"/>
        <v>0</v>
      </c>
      <c r="N91" s="94">
        <f t="shared" si="18"/>
        <v>0</v>
      </c>
    </row>
    <row r="92" spans="1:14">
      <c r="A92" s="92">
        <v>72</v>
      </c>
      <c r="B92" s="93">
        <f t="shared" si="19"/>
        <v>45570</v>
      </c>
      <c r="C92" s="94">
        <f t="shared" si="12"/>
        <v>0</v>
      </c>
      <c r="D92" s="94">
        <f t="shared" si="16"/>
        <v>0</v>
      </c>
      <c r="E92" s="94">
        <f t="shared" si="15"/>
        <v>0</v>
      </c>
      <c r="F92" s="94">
        <f t="shared" si="14"/>
        <v>0</v>
      </c>
      <c r="G92" s="94">
        <f t="shared" si="13"/>
        <v>0</v>
      </c>
      <c r="H92" s="94">
        <f t="shared" si="20"/>
        <v>0</v>
      </c>
      <c r="I92" s="94">
        <f t="shared" si="17"/>
        <v>0</v>
      </c>
      <c r="J92" s="94"/>
      <c r="K92" s="94"/>
      <c r="L92" s="94"/>
      <c r="M92" s="95">
        <f t="shared" si="11"/>
        <v>0</v>
      </c>
      <c r="N92" s="94">
        <f t="shared" si="18"/>
        <v>0</v>
      </c>
    </row>
    <row r="93" spans="1:14">
      <c r="A93" s="92">
        <v>73</v>
      </c>
      <c r="B93" s="93">
        <f t="shared" si="19"/>
        <v>45601</v>
      </c>
      <c r="C93" s="94">
        <f t="shared" si="12"/>
        <v>0</v>
      </c>
      <c r="D93" s="94">
        <f t="shared" si="16"/>
        <v>0</v>
      </c>
      <c r="E93" s="94">
        <f t="shared" si="15"/>
        <v>0</v>
      </c>
      <c r="F93" s="94">
        <f t="shared" si="14"/>
        <v>0</v>
      </c>
      <c r="G93" s="94">
        <f t="shared" si="13"/>
        <v>0</v>
      </c>
      <c r="H93" s="94">
        <f t="shared" si="20"/>
        <v>0</v>
      </c>
      <c r="I93" s="94">
        <f t="shared" si="17"/>
        <v>0</v>
      </c>
      <c r="J93" s="94"/>
      <c r="K93" s="94"/>
      <c r="L93" s="94"/>
      <c r="M93" s="95">
        <f t="shared" si="11"/>
        <v>0</v>
      </c>
      <c r="N93" s="94">
        <f t="shared" si="18"/>
        <v>0</v>
      </c>
    </row>
    <row r="94" spans="1:14">
      <c r="A94" s="92">
        <v>74</v>
      </c>
      <c r="B94" s="93">
        <f t="shared" si="19"/>
        <v>45631</v>
      </c>
      <c r="C94" s="94">
        <f t="shared" si="12"/>
        <v>0</v>
      </c>
      <c r="D94" s="94">
        <f t="shared" si="16"/>
        <v>0</v>
      </c>
      <c r="E94" s="94">
        <f t="shared" si="15"/>
        <v>0</v>
      </c>
      <c r="F94" s="94">
        <f t="shared" si="14"/>
        <v>0</v>
      </c>
      <c r="G94" s="94">
        <f t="shared" si="13"/>
        <v>0</v>
      </c>
      <c r="H94" s="94">
        <f t="shared" si="20"/>
        <v>0</v>
      </c>
      <c r="I94" s="94">
        <f t="shared" si="17"/>
        <v>0</v>
      </c>
      <c r="J94" s="94"/>
      <c r="K94" s="94"/>
      <c r="L94" s="94"/>
      <c r="M94" s="95">
        <f t="shared" si="11"/>
        <v>0</v>
      </c>
      <c r="N94" s="94">
        <f t="shared" si="18"/>
        <v>0</v>
      </c>
    </row>
    <row r="95" spans="1:14">
      <c r="A95" s="92">
        <v>75</v>
      </c>
      <c r="B95" s="93">
        <f t="shared" si="19"/>
        <v>45662</v>
      </c>
      <c r="C95" s="94">
        <f t="shared" si="12"/>
        <v>0</v>
      </c>
      <c r="D95" s="94">
        <f t="shared" si="16"/>
        <v>0</v>
      </c>
      <c r="E95" s="94">
        <f t="shared" si="15"/>
        <v>0</v>
      </c>
      <c r="F95" s="94">
        <f t="shared" si="14"/>
        <v>0</v>
      </c>
      <c r="G95" s="94">
        <f t="shared" si="13"/>
        <v>0</v>
      </c>
      <c r="H95" s="94">
        <f t="shared" si="20"/>
        <v>0</v>
      </c>
      <c r="I95" s="94">
        <f t="shared" si="17"/>
        <v>0</v>
      </c>
      <c r="J95" s="94"/>
      <c r="K95" s="94"/>
      <c r="L95" s="94"/>
      <c r="M95" s="95">
        <f t="shared" ref="M95:M104" si="21">SUM(C95,D95,G95,J95,K95,L95)</f>
        <v>0</v>
      </c>
      <c r="N95" s="94">
        <f t="shared" si="18"/>
        <v>0</v>
      </c>
    </row>
    <row r="96" spans="1:14">
      <c r="A96" s="92">
        <v>76</v>
      </c>
      <c r="B96" s="93">
        <f t="shared" si="19"/>
        <v>45693</v>
      </c>
      <c r="C96" s="94">
        <f t="shared" si="12"/>
        <v>0</v>
      </c>
      <c r="D96" s="94">
        <f t="shared" si="16"/>
        <v>0</v>
      </c>
      <c r="E96" s="94">
        <f t="shared" si="15"/>
        <v>0</v>
      </c>
      <c r="F96" s="94">
        <f t="shared" si="14"/>
        <v>0</v>
      </c>
      <c r="G96" s="94">
        <f t="shared" si="13"/>
        <v>0</v>
      </c>
      <c r="H96" s="94">
        <f t="shared" si="20"/>
        <v>0</v>
      </c>
      <c r="I96" s="94">
        <f t="shared" si="17"/>
        <v>0</v>
      </c>
      <c r="J96" s="94"/>
      <c r="K96" s="94"/>
      <c r="L96" s="94"/>
      <c r="M96" s="95">
        <f t="shared" si="21"/>
        <v>0</v>
      </c>
      <c r="N96" s="94">
        <f t="shared" si="18"/>
        <v>0</v>
      </c>
    </row>
    <row r="97" spans="1:14">
      <c r="A97" s="92">
        <v>77</v>
      </c>
      <c r="B97" s="93">
        <f t="shared" si="19"/>
        <v>45721</v>
      </c>
      <c r="C97" s="94">
        <f t="shared" si="12"/>
        <v>0</v>
      </c>
      <c r="D97" s="94">
        <f t="shared" si="16"/>
        <v>0</v>
      </c>
      <c r="E97" s="94">
        <f t="shared" si="15"/>
        <v>0</v>
      </c>
      <c r="F97" s="94">
        <f t="shared" si="14"/>
        <v>0</v>
      </c>
      <c r="G97" s="94">
        <f t="shared" si="13"/>
        <v>0</v>
      </c>
      <c r="H97" s="94">
        <f t="shared" si="20"/>
        <v>0</v>
      </c>
      <c r="I97" s="94">
        <f t="shared" si="17"/>
        <v>0</v>
      </c>
      <c r="J97" s="94"/>
      <c r="K97" s="94"/>
      <c r="L97" s="94"/>
      <c r="M97" s="95">
        <f t="shared" si="21"/>
        <v>0</v>
      </c>
      <c r="N97" s="94">
        <f t="shared" si="18"/>
        <v>0</v>
      </c>
    </row>
    <row r="98" spans="1:14">
      <c r="A98" s="92">
        <v>78</v>
      </c>
      <c r="B98" s="93">
        <f t="shared" si="19"/>
        <v>45752</v>
      </c>
      <c r="C98" s="94">
        <f t="shared" si="12"/>
        <v>0</v>
      </c>
      <c r="D98" s="94">
        <f t="shared" si="16"/>
        <v>0</v>
      </c>
      <c r="E98" s="94">
        <f t="shared" si="15"/>
        <v>0</v>
      </c>
      <c r="F98" s="94">
        <f t="shared" si="14"/>
        <v>0</v>
      </c>
      <c r="G98" s="94">
        <f t="shared" si="13"/>
        <v>0</v>
      </c>
      <c r="H98" s="94">
        <f t="shared" si="20"/>
        <v>0</v>
      </c>
      <c r="I98" s="94">
        <f t="shared" si="17"/>
        <v>0</v>
      </c>
      <c r="J98" s="94"/>
      <c r="K98" s="94"/>
      <c r="L98" s="94"/>
      <c r="M98" s="95">
        <f t="shared" si="21"/>
        <v>0</v>
      </c>
      <c r="N98" s="94">
        <f t="shared" si="18"/>
        <v>0</v>
      </c>
    </row>
    <row r="99" spans="1:14">
      <c r="A99" s="92">
        <v>79</v>
      </c>
      <c r="B99" s="93">
        <f t="shared" si="19"/>
        <v>45782</v>
      </c>
      <c r="C99" s="94">
        <f t="shared" si="12"/>
        <v>0</v>
      </c>
      <c r="D99" s="94">
        <f t="shared" si="16"/>
        <v>0</v>
      </c>
      <c r="E99" s="94">
        <f t="shared" si="15"/>
        <v>0</v>
      </c>
      <c r="F99" s="94">
        <f t="shared" si="14"/>
        <v>0</v>
      </c>
      <c r="G99" s="94">
        <f t="shared" si="13"/>
        <v>0</v>
      </c>
      <c r="H99" s="94">
        <f t="shared" si="20"/>
        <v>0</v>
      </c>
      <c r="I99" s="94">
        <f t="shared" si="17"/>
        <v>0</v>
      </c>
      <c r="J99" s="94"/>
      <c r="K99" s="94"/>
      <c r="L99" s="94"/>
      <c r="M99" s="95">
        <f t="shared" si="21"/>
        <v>0</v>
      </c>
      <c r="N99" s="94">
        <f t="shared" si="18"/>
        <v>0</v>
      </c>
    </row>
    <row r="100" spans="1:14">
      <c r="A100" s="92">
        <v>80</v>
      </c>
      <c r="B100" s="93">
        <f t="shared" si="19"/>
        <v>45813</v>
      </c>
      <c r="C100" s="94">
        <f t="shared" si="12"/>
        <v>0</v>
      </c>
      <c r="D100" s="94">
        <f t="shared" si="16"/>
        <v>0</v>
      </c>
      <c r="E100" s="94">
        <f t="shared" si="15"/>
        <v>0</v>
      </c>
      <c r="F100" s="94">
        <f t="shared" si="14"/>
        <v>0</v>
      </c>
      <c r="G100" s="94">
        <f t="shared" si="13"/>
        <v>0</v>
      </c>
      <c r="H100" s="94">
        <f t="shared" si="20"/>
        <v>0</v>
      </c>
      <c r="I100" s="94">
        <f t="shared" si="17"/>
        <v>0</v>
      </c>
      <c r="J100" s="94"/>
      <c r="K100" s="94"/>
      <c r="L100" s="94"/>
      <c r="M100" s="95">
        <f t="shared" si="21"/>
        <v>0</v>
      </c>
      <c r="N100" s="94">
        <f t="shared" si="18"/>
        <v>0</v>
      </c>
    </row>
    <row r="101" spans="1:14">
      <c r="A101" s="92">
        <v>81</v>
      </c>
      <c r="B101" s="93">
        <f t="shared" si="19"/>
        <v>45843</v>
      </c>
      <c r="C101" s="94">
        <f t="shared" si="12"/>
        <v>0</v>
      </c>
      <c r="D101" s="94">
        <f t="shared" si="16"/>
        <v>0</v>
      </c>
      <c r="E101" s="94">
        <f t="shared" si="15"/>
        <v>0</v>
      </c>
      <c r="F101" s="94">
        <f t="shared" si="14"/>
        <v>0</v>
      </c>
      <c r="G101" s="94">
        <f t="shared" si="13"/>
        <v>0</v>
      </c>
      <c r="H101" s="94">
        <f t="shared" si="20"/>
        <v>0</v>
      </c>
      <c r="I101" s="94">
        <f t="shared" si="17"/>
        <v>0</v>
      </c>
      <c r="J101" s="94"/>
      <c r="K101" s="94"/>
      <c r="L101" s="94"/>
      <c r="M101" s="95">
        <f t="shared" si="21"/>
        <v>0</v>
      </c>
      <c r="N101" s="94">
        <f t="shared" si="18"/>
        <v>0</v>
      </c>
    </row>
    <row r="102" spans="1:14">
      <c r="A102" s="92">
        <v>82</v>
      </c>
      <c r="B102" s="93">
        <f t="shared" si="19"/>
        <v>45874</v>
      </c>
      <c r="C102" s="94">
        <f t="shared" si="12"/>
        <v>0</v>
      </c>
      <c r="D102" s="94">
        <f t="shared" si="16"/>
        <v>0</v>
      </c>
      <c r="E102" s="94">
        <f t="shared" si="15"/>
        <v>0</v>
      </c>
      <c r="F102" s="94">
        <f t="shared" si="14"/>
        <v>0</v>
      </c>
      <c r="G102" s="94">
        <f t="shared" si="13"/>
        <v>0</v>
      </c>
      <c r="H102" s="94">
        <f t="shared" si="20"/>
        <v>0</v>
      </c>
      <c r="I102" s="94">
        <f t="shared" si="17"/>
        <v>0</v>
      </c>
      <c r="J102" s="94"/>
      <c r="K102" s="94"/>
      <c r="L102" s="94"/>
      <c r="M102" s="95">
        <f t="shared" si="21"/>
        <v>0</v>
      </c>
      <c r="N102" s="94">
        <f t="shared" si="18"/>
        <v>0</v>
      </c>
    </row>
    <row r="103" spans="1:14">
      <c r="A103" s="92">
        <v>83</v>
      </c>
      <c r="B103" s="93">
        <f t="shared" si="19"/>
        <v>45905</v>
      </c>
      <c r="C103" s="94">
        <f t="shared" si="12"/>
        <v>0</v>
      </c>
      <c r="D103" s="94">
        <f t="shared" si="16"/>
        <v>0</v>
      </c>
      <c r="E103" s="94">
        <f t="shared" si="15"/>
        <v>0</v>
      </c>
      <c r="F103" s="94">
        <f t="shared" si="14"/>
        <v>0</v>
      </c>
      <c r="G103" s="94">
        <f t="shared" si="13"/>
        <v>0</v>
      </c>
      <c r="H103" s="94">
        <f t="shared" si="20"/>
        <v>0</v>
      </c>
      <c r="I103" s="94">
        <f t="shared" si="17"/>
        <v>0</v>
      </c>
      <c r="J103" s="94"/>
      <c r="K103" s="94"/>
      <c r="L103" s="94"/>
      <c r="M103" s="95">
        <f t="shared" si="21"/>
        <v>0</v>
      </c>
      <c r="N103" s="94">
        <f t="shared" si="18"/>
        <v>0</v>
      </c>
    </row>
    <row r="104" spans="1:14">
      <c r="A104" s="92">
        <v>84</v>
      </c>
      <c r="B104" s="93">
        <f t="shared" si="19"/>
        <v>45935</v>
      </c>
      <c r="C104" s="94">
        <f t="shared" si="12"/>
        <v>0</v>
      </c>
      <c r="D104" s="94">
        <f t="shared" si="16"/>
        <v>0</v>
      </c>
      <c r="E104" s="94">
        <f t="shared" si="15"/>
        <v>0</v>
      </c>
      <c r="F104" s="94">
        <f t="shared" si="14"/>
        <v>0</v>
      </c>
      <c r="G104" s="94">
        <f t="shared" si="13"/>
        <v>0</v>
      </c>
      <c r="H104" s="94">
        <f t="shared" si="20"/>
        <v>0</v>
      </c>
      <c r="I104" s="94">
        <f t="shared" si="17"/>
        <v>0</v>
      </c>
      <c r="J104" s="94"/>
      <c r="K104" s="94"/>
      <c r="L104" s="94"/>
      <c r="M104" s="95">
        <f t="shared" si="21"/>
        <v>0</v>
      </c>
      <c r="N104" s="94">
        <f t="shared" si="18"/>
        <v>0</v>
      </c>
    </row>
    <row r="106" spans="1:14">
      <c r="B106" s="96"/>
    </row>
    <row r="107" spans="1:14">
      <c r="B107" s="94"/>
    </row>
  </sheetData>
  <sheetProtection formatRows="0" insertColumns="0" selectLockedCells="1" selectUnlockedCells="1"/>
  <conditionalFormatting sqref="I18">
    <cfRule type="cellIs" dxfId="60" priority="6" operator="lessThan">
      <formula>0</formula>
    </cfRule>
    <cfRule type="cellIs" dxfId="59" priority="7" operator="greaterThan">
      <formula>0</formula>
    </cfRule>
    <cfRule type="cellIs" dxfId="58" priority="8" operator="equal">
      <formula>0</formula>
    </cfRule>
  </conditionalFormatting>
  <conditionalFormatting sqref="C18">
    <cfRule type="cellIs" dxfId="57" priority="11" operator="equal">
      <formula>0</formula>
    </cfRule>
    <cfRule type="cellIs" dxfId="56" priority="9" operator="lessThan">
      <formula>0</formula>
    </cfRule>
    <cfRule type="cellIs" dxfId="55" priority="10" operator="greaterThan">
      <formula>0</formula>
    </cfRule>
  </conditionalFormatting>
  <conditionalFormatting sqref="F16">
    <cfRule type="cellIs" dxfId="54" priority="1" operator="lessThan">
      <formula>0.1</formula>
    </cfRule>
    <cfRule type="cellIs" dxfId="53" priority="2" operator="greaterThan">
      <formula>0.18</formula>
    </cfRule>
  </conditionalFormatting>
  <conditionalFormatting sqref="B18">
    <cfRule type="cellIs" dxfId="52" priority="5" operator="equal">
      <formula>0</formula>
    </cfRule>
    <cfRule type="cellIs" dxfId="51" priority="3" operator="lessThan">
      <formula>0</formula>
    </cfRule>
    <cfRule type="cellIs" dxfId="50" priority="4" operator="greaterThan">
      <formula>0</formula>
    </cfRule>
  </conditionalFormatting>
  <dataValidations count="2">
    <dataValidation type="list" allowBlank="1" showInputMessage="1" showErrorMessage="1" sqref="F9" xr:uid="{00000000-0002-0000-0700-000000000000}">
      <formula1>$I$6:$I$7</formula1>
    </dataValidation>
    <dataValidation type="list" allowBlank="1" showInputMessage="1" showErrorMessage="1" sqref="F12" xr:uid="{00000000-0002-0000-0700-000001000000}">
      <formula1>$I$9:$I$10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07"/>
  <sheetViews>
    <sheetView zoomScale="70" workbookViewId="0">
      <selection activeCell="F15" sqref="F15"/>
    </sheetView>
  </sheetViews>
  <sheetFormatPr defaultColWidth="9.140625" defaultRowHeight="15"/>
  <cols>
    <col min="1" max="1" width="9.140625" style="71"/>
    <col min="2" max="2" width="11.140625" style="71" customWidth="1"/>
    <col min="3" max="3" width="10.140625" style="71" bestFit="1" customWidth="1"/>
    <col min="4" max="7" width="9.28515625" style="71" bestFit="1" customWidth="1"/>
    <col min="8" max="8" width="10.140625" style="71" bestFit="1" customWidth="1"/>
    <col min="9" max="12" width="9.28515625" style="71" bestFit="1" customWidth="1"/>
    <col min="13" max="13" width="10.28515625" style="71" customWidth="1"/>
    <col min="14" max="14" width="9.5703125" style="71" bestFit="1" customWidth="1"/>
    <col min="15" max="16384" width="9.140625" style="71"/>
  </cols>
  <sheetData>
    <row r="1" spans="1:18" ht="18.75">
      <c r="A1" s="72"/>
      <c r="F1" s="74"/>
    </row>
    <row r="2" spans="1:18" ht="18.75">
      <c r="A2" s="72"/>
      <c r="F2" s="75"/>
    </row>
    <row r="5" spans="1:18">
      <c r="A5" s="73" t="s">
        <v>68</v>
      </c>
      <c r="F5" s="119">
        <f>'Калькулятор 12-48 мес'!K11</f>
        <v>1000</v>
      </c>
      <c r="H5" s="73"/>
      <c r="I5" s="73"/>
      <c r="J5" s="73"/>
      <c r="K5" s="73" t="s">
        <v>69</v>
      </c>
    </row>
    <row r="6" spans="1:18">
      <c r="A6" s="73" t="s">
        <v>70</v>
      </c>
      <c r="F6" s="120">
        <f>'Калькулятор 12-48 мес'!K14</f>
        <v>0</v>
      </c>
      <c r="G6" s="119">
        <f>F5*F6</f>
        <v>0</v>
      </c>
      <c r="I6" s="71" t="s">
        <v>71</v>
      </c>
      <c r="K6" s="93">
        <v>44927</v>
      </c>
      <c r="O6" s="73" t="s">
        <v>72</v>
      </c>
      <c r="P6" s="73"/>
      <c r="Q6" s="73" t="s">
        <v>73</v>
      </c>
      <c r="R6" s="73" t="s">
        <v>74</v>
      </c>
    </row>
    <row r="7" spans="1:18">
      <c r="A7" s="73" t="s">
        <v>75</v>
      </c>
      <c r="F7" s="119">
        <v>36</v>
      </c>
      <c r="I7" s="71" t="s">
        <v>76</v>
      </c>
      <c r="O7" s="71">
        <v>1</v>
      </c>
      <c r="P7" s="71" t="s">
        <v>77</v>
      </c>
      <c r="Q7" s="78">
        <v>2.0199999999999999E-2</v>
      </c>
      <c r="R7" s="78">
        <f>2.02%*1.22</f>
        <v>2.4643999999999999E-2</v>
      </c>
    </row>
    <row r="8" spans="1:18">
      <c r="A8" s="73" t="s">
        <v>78</v>
      </c>
      <c r="F8" s="79">
        <v>0</v>
      </c>
      <c r="L8" s="71" t="s">
        <v>79</v>
      </c>
      <c r="M8" s="71" t="s">
        <v>80</v>
      </c>
      <c r="O8" s="71">
        <v>2</v>
      </c>
      <c r="P8" s="71" t="s">
        <v>81</v>
      </c>
      <c r="Q8" s="79">
        <f>2.07%*0.8</f>
        <v>1.6560000000000002E-2</v>
      </c>
      <c r="R8" s="79">
        <f>2.07%*0.8*1.22</f>
        <v>2.0203200000000001E-2</v>
      </c>
    </row>
    <row r="9" spans="1:18">
      <c r="A9" s="73" t="s">
        <v>82</v>
      </c>
      <c r="F9" s="119" t="s">
        <v>71</v>
      </c>
      <c r="I9" s="71" t="s">
        <v>83</v>
      </c>
      <c r="K9" s="71" t="s">
        <v>84</v>
      </c>
      <c r="L9" s="79">
        <v>0</v>
      </c>
      <c r="M9" s="119">
        <v>0</v>
      </c>
      <c r="O9" s="71">
        <v>3</v>
      </c>
      <c r="P9" s="71" t="s">
        <v>85</v>
      </c>
      <c r="Q9" s="79">
        <f>2.33%*0.7</f>
        <v>1.6310000000000002E-2</v>
      </c>
      <c r="R9" s="79">
        <f>2.33%*0.7*1.22</f>
        <v>1.9898200000000001E-2</v>
      </c>
    </row>
    <row r="10" spans="1:18">
      <c r="A10" s="73" t="s">
        <v>86</v>
      </c>
      <c r="F10" s="121">
        <v>1</v>
      </c>
      <c r="I10" s="71" t="s">
        <v>87</v>
      </c>
      <c r="K10" s="71" t="s">
        <v>88</v>
      </c>
      <c r="L10" s="79"/>
      <c r="M10" s="119">
        <v>12</v>
      </c>
      <c r="O10" s="71">
        <v>4</v>
      </c>
      <c r="P10" s="71" t="s">
        <v>89</v>
      </c>
      <c r="Q10" s="79">
        <f>2.76%*0.6</f>
        <v>1.6559999999999998E-2</v>
      </c>
      <c r="R10" s="79">
        <f>2.76%*0.6*1.22</f>
        <v>2.0203199999999998E-2</v>
      </c>
    </row>
    <row r="11" spans="1:18">
      <c r="A11" s="73"/>
      <c r="F11" s="121">
        <v>0</v>
      </c>
      <c r="L11" s="79"/>
      <c r="M11" s="119"/>
      <c r="Q11" s="79"/>
    </row>
    <row r="12" spans="1:18">
      <c r="A12" s="73" t="s">
        <v>90</v>
      </c>
      <c r="F12" s="119" t="s">
        <v>87</v>
      </c>
      <c r="O12" s="71">
        <v>5</v>
      </c>
      <c r="P12" s="71" t="s">
        <v>91</v>
      </c>
      <c r="Q12" s="79">
        <f>3.03%*0.5</f>
        <v>1.5149999999999999E-2</v>
      </c>
      <c r="R12" s="79">
        <f>3.03%*0.5*1.22</f>
        <v>1.8482999999999999E-2</v>
      </c>
    </row>
    <row r="13" spans="1:18">
      <c r="A13" s="73" t="s">
        <v>92</v>
      </c>
      <c r="F13" s="79">
        <v>0</v>
      </c>
      <c r="G13" s="79"/>
      <c r="I13" s="71" t="s">
        <v>93</v>
      </c>
      <c r="K13" s="73" t="s">
        <v>94</v>
      </c>
      <c r="O13" s="71">
        <v>6</v>
      </c>
      <c r="P13" s="71" t="s">
        <v>95</v>
      </c>
      <c r="Q13" s="78">
        <f>Q12</f>
        <v>1.5149999999999999E-2</v>
      </c>
      <c r="R13" s="78">
        <f>Q13</f>
        <v>1.5149999999999999E-2</v>
      </c>
    </row>
    <row r="14" spans="1:18">
      <c r="A14" s="73" t="s">
        <v>96</v>
      </c>
      <c r="F14" s="76">
        <v>0.49</v>
      </c>
      <c r="G14" s="79"/>
      <c r="I14" s="71" t="s">
        <v>2</v>
      </c>
      <c r="K14" s="79">
        <v>0</v>
      </c>
      <c r="O14" s="71">
        <v>7</v>
      </c>
      <c r="P14" s="71" t="s">
        <v>97</v>
      </c>
      <c r="Q14" s="78">
        <f>Q13</f>
        <v>1.5149999999999999E-2</v>
      </c>
      <c r="R14" s="78">
        <f>R13</f>
        <v>1.5149999999999999E-2</v>
      </c>
    </row>
    <row r="15" spans="1:18">
      <c r="A15" s="73" t="s">
        <v>98</v>
      </c>
      <c r="F15" s="79">
        <v>0</v>
      </c>
      <c r="G15" s="79"/>
    </row>
    <row r="16" spans="1:18">
      <c r="A16" s="73" t="s">
        <v>99</v>
      </c>
      <c r="F16" s="79">
        <f>XIRR(M20:M104,B20:B104)</f>
        <v>0.61586000323295598</v>
      </c>
    </row>
    <row r="17" spans="1:19">
      <c r="O17" s="78"/>
      <c r="P17" s="78"/>
      <c r="R17" s="71" t="str">
        <f>'Калькулятор 12-48 мес'!K12</f>
        <v>ФЛ</v>
      </c>
      <c r="S17" s="71" t="s">
        <v>100</v>
      </c>
    </row>
    <row r="18" spans="1:19">
      <c r="A18" s="92">
        <f>LARGE(A20:A1048576,1)</f>
        <v>84</v>
      </c>
      <c r="B18" s="92">
        <f>IF(A18&lt;F7,"протяните формулы",0)</f>
        <v>0</v>
      </c>
      <c r="C18" s="92">
        <f>SUM(C20:C104)</f>
        <v>7.602807272633072E-13</v>
      </c>
      <c r="D18" s="92">
        <f t="shared" ref="D18:M18" si="0">SUM(D20:D104)</f>
        <v>755.41666666666572</v>
      </c>
      <c r="E18" s="92">
        <f t="shared" si="0"/>
        <v>0</v>
      </c>
      <c r="F18" s="92">
        <f t="shared" si="0"/>
        <v>0</v>
      </c>
      <c r="G18" s="92">
        <f t="shared" si="0"/>
        <v>0</v>
      </c>
      <c r="H18" s="92">
        <f t="shared" si="0"/>
        <v>755.41666666666572</v>
      </c>
      <c r="I18" s="94"/>
      <c r="J18" s="92">
        <f t="shared" si="0"/>
        <v>0</v>
      </c>
      <c r="K18" s="92">
        <f t="shared" si="0"/>
        <v>0</v>
      </c>
      <c r="L18" s="92">
        <f t="shared" si="0"/>
        <v>0</v>
      </c>
      <c r="M18" s="92">
        <f t="shared" si="0"/>
        <v>755.41666666666572</v>
      </c>
      <c r="O18" s="122"/>
      <c r="P18" s="122"/>
    </row>
    <row r="19" spans="1:19" ht="76.5">
      <c r="A19" s="123" t="s">
        <v>101</v>
      </c>
      <c r="B19" s="123" t="s">
        <v>102</v>
      </c>
      <c r="C19" s="123" t="s">
        <v>103</v>
      </c>
      <c r="D19" s="123" t="s">
        <v>104</v>
      </c>
      <c r="E19" s="123" t="s">
        <v>105</v>
      </c>
      <c r="F19" s="123" t="s">
        <v>106</v>
      </c>
      <c r="G19" s="123" t="s">
        <v>107</v>
      </c>
      <c r="H19" s="123" t="s">
        <v>108</v>
      </c>
      <c r="I19" s="85" t="s">
        <v>109</v>
      </c>
      <c r="J19" s="123" t="s">
        <v>84</v>
      </c>
      <c r="K19" s="123" t="s">
        <v>110</v>
      </c>
      <c r="L19" s="123" t="s">
        <v>111</v>
      </c>
      <c r="M19" s="123" t="s">
        <v>112</v>
      </c>
      <c r="N19" s="123" t="s">
        <v>113</v>
      </c>
      <c r="O19" s="78"/>
      <c r="P19" s="78"/>
      <c r="Q19" s="88"/>
      <c r="R19" s="88"/>
      <c r="S19" s="88"/>
    </row>
    <row r="20" spans="1:19">
      <c r="A20" s="124">
        <v>0</v>
      </c>
      <c r="B20" s="124" t="s">
        <v>114</v>
      </c>
      <c r="C20" s="94">
        <f>IF(F6&gt;=40%,-(F5*60%),-(F5*(1-F6)))</f>
        <v>-1000</v>
      </c>
      <c r="D20" s="94"/>
      <c r="E20" s="94"/>
      <c r="F20" s="94"/>
      <c r="G20" s="94"/>
      <c r="H20" s="94">
        <f>SUM(C20:G20)</f>
        <v>-1000</v>
      </c>
      <c r="I20" s="94">
        <f>C20*20/120</f>
        <v>-166.66666666666666</v>
      </c>
      <c r="J20" s="94">
        <f>-F5*L9</f>
        <v>0</v>
      </c>
      <c r="K20" s="94">
        <f>-F5*L10</f>
        <v>0</v>
      </c>
      <c r="L20" s="94">
        <f>F5*F8</f>
        <v>0</v>
      </c>
      <c r="M20" s="95">
        <f>SUM(C20,D20,G20,J20,K20,L20)</f>
        <v>-1000</v>
      </c>
      <c r="N20" s="94">
        <f>-C20</f>
        <v>1000</v>
      </c>
      <c r="O20" s="78"/>
      <c r="P20" s="78"/>
    </row>
    <row r="21" spans="1:19">
      <c r="A21" s="92">
        <f>A20+1</f>
        <v>1</v>
      </c>
      <c r="B21" s="93">
        <f>EOMONTH(B20,0)+DAY(B20)</f>
        <v>43409</v>
      </c>
      <c r="C21" s="94">
        <f>IF(A21&lt;=$F$7,(IF($F$6&lt;=40%,IF($F$9=$I$6,(-$C$20-$F$5*$K$14)/$F$7+IF(A21=$F$7,$F$5*$K$14,0),MINA(((N20-$F$5*$K$14)/($F$7-A21+1)*$F$10),(N20-$F$5*$K$14))+IF(A21=$F$7,$F$5*$K$14,0)),IF(A21=1,F5*(F6-40%),IF($F$9=$I$6,(-$C$20-$F$5*$K$14)/$F$7+IF(A21=$F$7,$F$5*$K$14,0),MINA(((N20-$F$5*$K$14)/($F$7-A21+1)*$F$10),(N20-$F$5*$K$14))+IF(A21=$F$7,$F$5*$K$14,0))))),0)</f>
        <v>27.777777777777779</v>
      </c>
      <c r="D21" s="94">
        <f t="shared" ref="D21:D84" si="1">IF(A21&lt;=$F$7,IF($F$12=$I$9,$F$5*$F$13,N20*$F$14/12),0)+-IF(AND(A21&lt;=$M$9,$M$9&lt;&gt;0),$J$20/$M$9,0)+-IF(AND(A21&lt;=$M$10,$M$10&lt;&gt;0),$K$20/$M$10,0)</f>
        <v>40.833333333333336</v>
      </c>
      <c r="E21" s="94">
        <f>IF($R$17="ЮЛ",D21*0.2,0)</f>
        <v>0</v>
      </c>
      <c r="F21" s="94">
        <f>IF(AND(A21&lt;=$F$7,$S$17="ДА"),($F$5*VLOOKUP(ROUNDUP(A21/12,0),$O$7:$Q$14,3,0)/12),0)</f>
        <v>0</v>
      </c>
      <c r="G21" s="94">
        <v>0</v>
      </c>
      <c r="H21" s="94">
        <f>SUM(C21:G21)+SUM(C21:G21)*$F$15</f>
        <v>68.611111111111114</v>
      </c>
      <c r="I21" s="94">
        <f t="shared" ref="I21:I84" si="2">C21*20/120</f>
        <v>4.6296296296296298</v>
      </c>
      <c r="J21" s="94"/>
      <c r="K21" s="94"/>
      <c r="L21" s="94"/>
      <c r="M21" s="95">
        <f t="shared" ref="M21:M84" si="3">SUM(C21,D21,G21,J21,K21,L21)</f>
        <v>68.611111111111114</v>
      </c>
      <c r="N21" s="94">
        <f t="shared" ref="N21:N84" si="4">N20-C21</f>
        <v>972.22222222222217</v>
      </c>
      <c r="O21" s="78"/>
      <c r="P21" s="78"/>
    </row>
    <row r="22" spans="1:19">
      <c r="A22" s="92">
        <v>2</v>
      </c>
      <c r="B22" s="93">
        <f t="shared" ref="B22:B85" si="5">EOMONTH(B21,0)+DAY(B21)</f>
        <v>43439</v>
      </c>
      <c r="C22" s="94">
        <f>IF(A22&lt;=$F$7,(IF($F$6&lt;=40%,IF($F$9=$I$6,(-$C$20-$F$5*$K$14)/$F$7+IF(A22=$F$7,$F$5*$K$14,0),MINA(((N21-$F$5*$K$14)/($F$7-A22+1)*$F$10),(N21-$F$5*$K$14))+IF(A22=$F$7,$F$5*$K$14,0)),IF(A22=1,F6*(F7-40%),IF($F$9=$I$6,(-$C$20-$F$5*$K$14)/$F$7+IF(A22=$F$7,$F$5*$K$14,0),MINA(((N21-$F$5*$K$14)/($F$7-A22+1)*$F$10),(N21-$F$5*$K$14))+IF(A22=$F$7,$F$5*$K$14,0))))),0)</f>
        <v>27.777777777777779</v>
      </c>
      <c r="D22" s="94">
        <f t="shared" si="1"/>
        <v>39.699074074074069</v>
      </c>
      <c r="E22" s="94">
        <f t="shared" ref="E22:E85" si="6">IF($R$17="ЮЛ",D22*0.2,0)</f>
        <v>0</v>
      </c>
      <c r="F22" s="94">
        <f t="shared" ref="F22:F85" si="7">IF(AND(A22&lt;=$F$7,$S$17="ДА"),($F$5*VLOOKUP(ROUNDUP(A22/12,0),$O$7:$Q$14,3,0)/12),0)</f>
        <v>0</v>
      </c>
      <c r="G22" s="94">
        <v>0</v>
      </c>
      <c r="H22" s="94">
        <f t="shared" ref="H22:H85" si="8">SUM(C22:G22)+SUM(C22:G22)*$F$15</f>
        <v>67.476851851851848</v>
      </c>
      <c r="I22" s="94">
        <f t="shared" si="2"/>
        <v>4.6296296296296298</v>
      </c>
      <c r="J22" s="94"/>
      <c r="K22" s="94"/>
      <c r="L22" s="94"/>
      <c r="M22" s="95">
        <f t="shared" si="3"/>
        <v>67.476851851851848</v>
      </c>
      <c r="N22" s="94">
        <f t="shared" si="4"/>
        <v>944.44444444444434</v>
      </c>
      <c r="O22" s="78"/>
      <c r="P22" s="78"/>
    </row>
    <row r="23" spans="1:19">
      <c r="A23" s="92">
        <v>3</v>
      </c>
      <c r="B23" s="93">
        <f t="shared" si="5"/>
        <v>43470</v>
      </c>
      <c r="C23" s="94">
        <f>IF(A23&lt;=$F$7,(IF($F$6&lt;=40%,IF($F$9=$I$6,(-$C$20-$F$5*$K$14)/$F$7+IF(A23=$F$7,$F$5*$K$14,0),MINA(((N22-$F$5*$K$14)/($F$7-A23+1)*$F$10),(N22-$F$5*$K$14))+IF(A23=$F$7,$F$5*$K$14,0)),IF(A23=1,F7*(F8-40%),IF($F$9=$I$6,(-$C$20-$F$5*$K$14)/$F$7+IF(A23=$F$7,$F$5*$K$14,0),MINA(((N22-$F$5*$K$14)/($F$7-A23+1)*$F$10),(N22-$F$5*$K$14))+IF(A23=$F$7,$F$5*$K$14,0))))),0)</f>
        <v>27.777777777777779</v>
      </c>
      <c r="D23" s="94">
        <f t="shared" si="1"/>
        <v>38.56481481481481</v>
      </c>
      <c r="E23" s="94">
        <f t="shared" si="6"/>
        <v>0</v>
      </c>
      <c r="F23" s="94">
        <f t="shared" si="7"/>
        <v>0</v>
      </c>
      <c r="G23" s="94">
        <v>0</v>
      </c>
      <c r="H23" s="94">
        <f t="shared" si="8"/>
        <v>66.342592592592581</v>
      </c>
      <c r="I23" s="94">
        <f t="shared" si="2"/>
        <v>4.6296296296296298</v>
      </c>
      <c r="J23" s="94"/>
      <c r="K23" s="94"/>
      <c r="L23" s="94"/>
      <c r="M23" s="95">
        <f t="shared" si="3"/>
        <v>66.342592592592581</v>
      </c>
      <c r="N23" s="94">
        <f t="shared" si="4"/>
        <v>916.66666666666652</v>
      </c>
      <c r="O23" s="78"/>
      <c r="P23" s="78"/>
    </row>
    <row r="24" spans="1:19">
      <c r="A24" s="92">
        <v>4</v>
      </c>
      <c r="B24" s="93">
        <f t="shared" si="5"/>
        <v>43501</v>
      </c>
      <c r="C24" s="94">
        <f>IF(A24&lt;=$F$7,(IF($F$6&lt;=40%,IF($F$9=$I$6,(-$C$20-$F$5*$K$14)/$F$7+IF(A24=$F$7,$F$5*$K$14,0),MINA(((N23-$F$5*$K$14)/($F$7-A24+1)*$F$10),(N23-$F$5*$K$14))+IF(A24=$F$7,$F$5*$K$14,0)),IF(A24=1,F8*(F9-40%),IF($F$9=$I$6,(-$C$20-$F$5*$K$14)/$F$7+IF(A24=$F$7,$F$5*$K$14,0),MINA(((N23-$F$5*$K$14)/($F$7-A24+1)*$F$10),(N23-$F$5*$K$14))+IF(A24=$F$7,$F$5*$K$14,0))))),0)</f>
        <v>27.777777777777779</v>
      </c>
      <c r="D24" s="94">
        <f t="shared" si="1"/>
        <v>37.43055555555555</v>
      </c>
      <c r="E24" s="94">
        <f t="shared" si="6"/>
        <v>0</v>
      </c>
      <c r="F24" s="94">
        <f t="shared" si="7"/>
        <v>0</v>
      </c>
      <c r="G24" s="94">
        <v>0</v>
      </c>
      <c r="H24" s="94">
        <f t="shared" si="8"/>
        <v>65.208333333333329</v>
      </c>
      <c r="I24" s="94">
        <f t="shared" si="2"/>
        <v>4.6296296296296298</v>
      </c>
      <c r="J24" s="94"/>
      <c r="K24" s="94"/>
      <c r="L24" s="94"/>
      <c r="M24" s="95">
        <f t="shared" si="3"/>
        <v>65.208333333333329</v>
      </c>
      <c r="N24" s="94">
        <f t="shared" si="4"/>
        <v>888.88888888888869</v>
      </c>
      <c r="O24" s="78"/>
      <c r="P24" s="78"/>
    </row>
    <row r="25" spans="1:19">
      <c r="A25" s="92">
        <v>5</v>
      </c>
      <c r="B25" s="93">
        <f t="shared" si="5"/>
        <v>43529</v>
      </c>
      <c r="C25" s="94">
        <f>IF(A25&lt;=$F$7,(IF($F$6&lt;=40%,IF($F$9=$I$6,(-$C$20-$F$5*$K$14)/$F$7+IF(A25=$F$7,$F$5*$K$14,0),MINA(((N24-$F$5*$K$14)/($F$7-A25+1)*$F$10),(N24-$F$5*$K$14))+IF(A25=$F$7,$F$5*$K$14,0)),IF(A25=1,F9*(F10-40%),IF($F$9=$I$6,(-$C$20-$F$5*$K$14)/$F$7+IF(A25=$F$7,$F$5*$K$14,0),MINA(((N24-$F$5*$K$14)/($F$7-A25+1)*$F$10),(N24-$F$5*$K$14))+IF(A25=$F$7,$F$5*$K$14,0))))),0)</f>
        <v>27.777777777777779</v>
      </c>
      <c r="D25" s="94">
        <f t="shared" si="1"/>
        <v>36.296296296296283</v>
      </c>
      <c r="E25" s="94">
        <f t="shared" si="6"/>
        <v>0</v>
      </c>
      <c r="F25" s="94">
        <f t="shared" si="7"/>
        <v>0</v>
      </c>
      <c r="G25" s="94">
        <v>0</v>
      </c>
      <c r="H25" s="94">
        <f t="shared" si="8"/>
        <v>64.074074074074062</v>
      </c>
      <c r="I25" s="94">
        <f t="shared" si="2"/>
        <v>4.6296296296296298</v>
      </c>
      <c r="J25" s="94"/>
      <c r="K25" s="94"/>
      <c r="L25" s="94"/>
      <c r="M25" s="95">
        <f t="shared" si="3"/>
        <v>64.074074074074062</v>
      </c>
      <c r="N25" s="94">
        <f t="shared" si="4"/>
        <v>861.11111111111086</v>
      </c>
    </row>
    <row r="26" spans="1:19">
      <c r="A26" s="92">
        <v>6</v>
      </c>
      <c r="B26" s="93">
        <f t="shared" si="5"/>
        <v>43560</v>
      </c>
      <c r="C26" s="94">
        <f>IF(A26&lt;=$F$7,(IF($F$6&lt;=40%,IF($F$9=$I$6,(-$C$20-$F$5*$K$14)/$F$7+IF(A26=$F$7,$F$5*$K$14,0),MINA(((N25-$F$5*$K$14)/($F$7-A26+1)*$F$10),(N25-$F$5*$K$14))+IF(A26=$F$7,$F$5*$K$14,0)),IF(A26=1,F10*(F12-40%),IF($F$9=$I$6,(-$C$20-$F$5*$K$14)/$F$7+IF(A26=$F$7,$F$5*$K$14,0),MINA(((N25-$F$5*$K$14)/($F$7-A26+1)*$F$10),(N25-$F$5*$K$14))+IF(A26=$F$7,$F$5*$K$14,0))))),0)</f>
        <v>27.777777777777779</v>
      </c>
      <c r="D26" s="94">
        <f t="shared" si="1"/>
        <v>35.162037037037024</v>
      </c>
      <c r="E26" s="94">
        <f t="shared" si="6"/>
        <v>0</v>
      </c>
      <c r="F26" s="94">
        <f t="shared" si="7"/>
        <v>0</v>
      </c>
      <c r="G26" s="94">
        <v>0</v>
      </c>
      <c r="H26" s="94">
        <f t="shared" si="8"/>
        <v>62.939814814814802</v>
      </c>
      <c r="I26" s="94">
        <f t="shared" si="2"/>
        <v>4.6296296296296298</v>
      </c>
      <c r="J26" s="94"/>
      <c r="K26" s="94"/>
      <c r="L26" s="94"/>
      <c r="M26" s="95">
        <f t="shared" si="3"/>
        <v>62.939814814814802</v>
      </c>
      <c r="N26" s="94">
        <f t="shared" si="4"/>
        <v>833.33333333333303</v>
      </c>
    </row>
    <row r="27" spans="1:19">
      <c r="A27" s="92">
        <v>7</v>
      </c>
      <c r="B27" s="93">
        <f t="shared" si="5"/>
        <v>43590</v>
      </c>
      <c r="C27" s="94">
        <f t="shared" ref="C27:C32" si="9">IF(A27&lt;=$F$7,(IF($F$6&lt;=40%,IF($F$9=$I$6,(-$C$20-$F$5*$K$14)/$F$7+IF(A27=$F$7,$F$5*$K$14,0),MINA(((N26-$F$5*$K$14)/($F$7-A27+1)*$F$10),(N26-$F$5*$K$14))+IF(A27=$F$7,$F$5*$K$14,0)),IF(A27=1,F12*(F13-40%),IF($F$9=$I$6,(-$C$20-$F$5*$K$14)/$F$7+IF(A27=$F$7,$F$5*$K$14,0),MINA(((N26-$F$5*$K$14)/($F$7-A27+1)*$F$10),(N26-$F$5*$K$14))+IF(A27=$F$7,$F$5*$K$14,0))))),0)</f>
        <v>27.777777777777779</v>
      </c>
      <c r="D27" s="94">
        <f t="shared" si="1"/>
        <v>34.027777777777764</v>
      </c>
      <c r="E27" s="94">
        <f t="shared" si="6"/>
        <v>0</v>
      </c>
      <c r="F27" s="94">
        <f t="shared" si="7"/>
        <v>0</v>
      </c>
      <c r="G27" s="94">
        <v>0</v>
      </c>
      <c r="H27" s="94">
        <f t="shared" si="8"/>
        <v>61.805555555555543</v>
      </c>
      <c r="I27" s="94">
        <f t="shared" si="2"/>
        <v>4.6296296296296298</v>
      </c>
      <c r="J27" s="94"/>
      <c r="K27" s="94"/>
      <c r="L27" s="94"/>
      <c r="M27" s="95">
        <f t="shared" si="3"/>
        <v>61.805555555555543</v>
      </c>
      <c r="N27" s="94">
        <f t="shared" si="4"/>
        <v>805.5555555555552</v>
      </c>
    </row>
    <row r="28" spans="1:19">
      <c r="A28" s="92">
        <v>8</v>
      </c>
      <c r="B28" s="93">
        <f t="shared" si="5"/>
        <v>43621</v>
      </c>
      <c r="C28" s="94">
        <f t="shared" si="9"/>
        <v>27.777777777777779</v>
      </c>
      <c r="D28" s="94">
        <f t="shared" si="1"/>
        <v>32.893518518518505</v>
      </c>
      <c r="E28" s="94">
        <f t="shared" si="6"/>
        <v>0</v>
      </c>
      <c r="F28" s="94">
        <f t="shared" si="7"/>
        <v>0</v>
      </c>
      <c r="G28" s="94">
        <v>0</v>
      </c>
      <c r="H28" s="94">
        <f t="shared" si="8"/>
        <v>60.671296296296283</v>
      </c>
      <c r="I28" s="94">
        <f t="shared" si="2"/>
        <v>4.6296296296296298</v>
      </c>
      <c r="J28" s="94"/>
      <c r="K28" s="94"/>
      <c r="L28" s="94"/>
      <c r="M28" s="95">
        <f t="shared" si="3"/>
        <v>60.671296296296283</v>
      </c>
      <c r="N28" s="94">
        <f t="shared" si="4"/>
        <v>777.77777777777737</v>
      </c>
    </row>
    <row r="29" spans="1:19">
      <c r="A29" s="92">
        <v>9</v>
      </c>
      <c r="B29" s="93">
        <f t="shared" si="5"/>
        <v>43651</v>
      </c>
      <c r="C29" s="94">
        <f t="shared" si="9"/>
        <v>27.777777777777779</v>
      </c>
      <c r="D29" s="94">
        <f t="shared" si="1"/>
        <v>31.759259259259242</v>
      </c>
      <c r="E29" s="94">
        <f t="shared" si="6"/>
        <v>0</v>
      </c>
      <c r="F29" s="94">
        <f t="shared" si="7"/>
        <v>0</v>
      </c>
      <c r="G29" s="94">
        <v>0</v>
      </c>
      <c r="H29" s="94">
        <f t="shared" si="8"/>
        <v>59.537037037037024</v>
      </c>
      <c r="I29" s="94">
        <f t="shared" si="2"/>
        <v>4.6296296296296298</v>
      </c>
      <c r="J29" s="94"/>
      <c r="K29" s="94"/>
      <c r="L29" s="94"/>
      <c r="M29" s="95">
        <f t="shared" si="3"/>
        <v>59.537037037037024</v>
      </c>
      <c r="N29" s="94">
        <f t="shared" si="4"/>
        <v>749.99999999999955</v>
      </c>
    </row>
    <row r="30" spans="1:19">
      <c r="A30" s="92">
        <v>10</v>
      </c>
      <c r="B30" s="93">
        <f t="shared" si="5"/>
        <v>43682</v>
      </c>
      <c r="C30" s="94">
        <f t="shared" si="9"/>
        <v>27.777777777777779</v>
      </c>
      <c r="D30" s="94">
        <f t="shared" si="1"/>
        <v>30.624999999999982</v>
      </c>
      <c r="E30" s="94">
        <f t="shared" si="6"/>
        <v>0</v>
      </c>
      <c r="F30" s="94">
        <f t="shared" si="7"/>
        <v>0</v>
      </c>
      <c r="G30" s="94">
        <v>0</v>
      </c>
      <c r="H30" s="94">
        <f t="shared" si="8"/>
        <v>58.402777777777757</v>
      </c>
      <c r="I30" s="94">
        <f t="shared" si="2"/>
        <v>4.6296296296296298</v>
      </c>
      <c r="J30" s="94"/>
      <c r="K30" s="94"/>
      <c r="L30" s="94"/>
      <c r="M30" s="95">
        <f t="shared" si="3"/>
        <v>58.402777777777757</v>
      </c>
      <c r="N30" s="94">
        <f t="shared" si="4"/>
        <v>722.22222222222172</v>
      </c>
    </row>
    <row r="31" spans="1:19">
      <c r="A31" s="92">
        <v>11</v>
      </c>
      <c r="B31" s="93">
        <f t="shared" si="5"/>
        <v>43713</v>
      </c>
      <c r="C31" s="94">
        <f t="shared" si="9"/>
        <v>27.777777777777779</v>
      </c>
      <c r="D31" s="94">
        <f t="shared" si="1"/>
        <v>29.490740740740719</v>
      </c>
      <c r="E31" s="94">
        <f t="shared" si="6"/>
        <v>0</v>
      </c>
      <c r="F31" s="94">
        <f t="shared" si="7"/>
        <v>0</v>
      </c>
      <c r="G31" s="94">
        <v>0</v>
      </c>
      <c r="H31" s="94">
        <f t="shared" si="8"/>
        <v>57.268518518518498</v>
      </c>
      <c r="I31" s="94">
        <f t="shared" si="2"/>
        <v>4.6296296296296298</v>
      </c>
      <c r="J31" s="94"/>
      <c r="K31" s="94"/>
      <c r="L31" s="94"/>
      <c r="M31" s="95">
        <f t="shared" si="3"/>
        <v>57.268518518518498</v>
      </c>
      <c r="N31" s="94">
        <f t="shared" si="4"/>
        <v>694.44444444444389</v>
      </c>
    </row>
    <row r="32" spans="1:19">
      <c r="A32" s="92">
        <v>12</v>
      </c>
      <c r="B32" s="93">
        <f t="shared" si="5"/>
        <v>43743</v>
      </c>
      <c r="C32" s="94">
        <f t="shared" si="9"/>
        <v>27.777777777777779</v>
      </c>
      <c r="D32" s="94">
        <f t="shared" si="1"/>
        <v>28.356481481481456</v>
      </c>
      <c r="E32" s="94">
        <f t="shared" si="6"/>
        <v>0</v>
      </c>
      <c r="F32" s="94">
        <f t="shared" si="7"/>
        <v>0</v>
      </c>
      <c r="G32" s="94">
        <v>0</v>
      </c>
      <c r="H32" s="94">
        <f t="shared" si="8"/>
        <v>56.134259259259238</v>
      </c>
      <c r="I32" s="94">
        <f t="shared" si="2"/>
        <v>4.6296296296296298</v>
      </c>
      <c r="J32" s="94"/>
      <c r="K32" s="94"/>
      <c r="L32" s="94"/>
      <c r="M32" s="95">
        <f t="shared" si="3"/>
        <v>56.134259259259238</v>
      </c>
      <c r="N32" s="94">
        <f t="shared" si="4"/>
        <v>666.66666666666606</v>
      </c>
    </row>
    <row r="33" spans="1:14">
      <c r="A33" s="92">
        <v>13</v>
      </c>
      <c r="B33" s="93">
        <f t="shared" si="5"/>
        <v>43774</v>
      </c>
      <c r="C33" s="94">
        <f>IF(A33&lt;=$F$7,(IF($F$6&lt;=40%,IF($F$9=$I$6,(-$C$20-$F$5*$K$14)/$F$7+IF(A33=$F$7,$F$5*$K$14,0),MINA(((N32-$F$5*$K$14)/($F$7-A33+1)*$F$11),(N32-$F$5*$K$14))+IF(A33=$F$7,$F$5*$K$14,0)),IF(A33=1,F18*(F19-40%),IF($F$9=$I$6,(-$C$20-$F$5*$K$14)/$F$7+IF(A33=$F$7,$F$5*$K$14,0),MINA(((N32-$F$5*$K$14)/($F$7-A33+1)*$F$10),(N32-$F$5*$K$14))+IF(A33=$F$7,$F$5*$K$14,0))))),0)</f>
        <v>27.777777777777779</v>
      </c>
      <c r="D33" s="94">
        <f t="shared" si="1"/>
        <v>27.222222222222197</v>
      </c>
      <c r="E33" s="94">
        <f t="shared" si="6"/>
        <v>0</v>
      </c>
      <c r="F33" s="94">
        <f t="shared" si="7"/>
        <v>0</v>
      </c>
      <c r="G33" s="94">
        <v>0</v>
      </c>
      <c r="H33" s="94">
        <f t="shared" si="8"/>
        <v>54.999999999999972</v>
      </c>
      <c r="I33" s="94">
        <f t="shared" si="2"/>
        <v>4.6296296296296298</v>
      </c>
      <c r="J33" s="94"/>
      <c r="K33" s="94"/>
      <c r="L33" s="94"/>
      <c r="M33" s="95">
        <f t="shared" si="3"/>
        <v>54.999999999999972</v>
      </c>
      <c r="N33" s="94">
        <f t="shared" si="4"/>
        <v>638.88888888888823</v>
      </c>
    </row>
    <row r="34" spans="1:14">
      <c r="A34" s="92">
        <v>14</v>
      </c>
      <c r="B34" s="93">
        <f t="shared" si="5"/>
        <v>43804</v>
      </c>
      <c r="C34" s="94">
        <f t="shared" ref="C34:C56" si="10">IF(A34&lt;=$F$7,(IF($F$6&lt;=40%,IF($F$9=$I$6,(-$C$20-$F$5*$K$14)/$F$7+IF(A34=$F$7,$F$5*$K$14,0),MINA(((N33-$F$5*$K$14)/($F$7-A34+1)*$F$11),(N33-$F$5*$K$14))+IF(A34=$F$7,$F$5*$K$14,0)),IF(A34=1,F19*(F20-40%),IF($F$9=$I$6,(-$C$20-$F$5*$K$14)/$F$7+IF(A34=$F$7,$F$5*$K$14,0),MINA(((N33-$F$5*$K$14)/($F$7-A34+1)*$F$10),(N33-$F$5*$K$14))+IF(A34=$F$7,$F$5*$K$14,0))))),0)</f>
        <v>27.777777777777779</v>
      </c>
      <c r="D34" s="94">
        <f t="shared" si="1"/>
        <v>26.087962962962933</v>
      </c>
      <c r="E34" s="94">
        <f t="shared" si="6"/>
        <v>0</v>
      </c>
      <c r="F34" s="94">
        <f t="shared" si="7"/>
        <v>0</v>
      </c>
      <c r="G34" s="94">
        <v>0</v>
      </c>
      <c r="H34" s="94">
        <f t="shared" si="8"/>
        <v>53.865740740740712</v>
      </c>
      <c r="I34" s="94">
        <f t="shared" si="2"/>
        <v>4.6296296296296298</v>
      </c>
      <c r="J34" s="94"/>
      <c r="K34" s="94"/>
      <c r="L34" s="94"/>
      <c r="M34" s="95">
        <f t="shared" si="3"/>
        <v>53.865740740740712</v>
      </c>
      <c r="N34" s="94">
        <f t="shared" si="4"/>
        <v>611.1111111111104</v>
      </c>
    </row>
    <row r="35" spans="1:14">
      <c r="A35" s="92">
        <v>15</v>
      </c>
      <c r="B35" s="93">
        <f t="shared" si="5"/>
        <v>43835</v>
      </c>
      <c r="C35" s="94">
        <f t="shared" si="10"/>
        <v>27.777777777777779</v>
      </c>
      <c r="D35" s="94">
        <f t="shared" si="1"/>
        <v>24.953703703703678</v>
      </c>
      <c r="E35" s="94">
        <f t="shared" si="6"/>
        <v>0</v>
      </c>
      <c r="F35" s="94">
        <f t="shared" si="7"/>
        <v>0</v>
      </c>
      <c r="G35" s="94">
        <v>0</v>
      </c>
      <c r="H35" s="94">
        <f t="shared" si="8"/>
        <v>52.731481481481453</v>
      </c>
      <c r="I35" s="94">
        <f t="shared" si="2"/>
        <v>4.6296296296296298</v>
      </c>
      <c r="J35" s="94"/>
      <c r="K35" s="94"/>
      <c r="L35" s="94"/>
      <c r="M35" s="95">
        <f t="shared" si="3"/>
        <v>52.731481481481453</v>
      </c>
      <c r="N35" s="94">
        <f t="shared" si="4"/>
        <v>583.33333333333258</v>
      </c>
    </row>
    <row r="36" spans="1:14">
      <c r="A36" s="92">
        <v>16</v>
      </c>
      <c r="B36" s="93">
        <f t="shared" si="5"/>
        <v>43866</v>
      </c>
      <c r="C36" s="94">
        <f t="shared" si="10"/>
        <v>27.777777777777779</v>
      </c>
      <c r="D36" s="94">
        <f t="shared" si="1"/>
        <v>23.819444444444414</v>
      </c>
      <c r="E36" s="94">
        <f t="shared" si="6"/>
        <v>0</v>
      </c>
      <c r="F36" s="94">
        <f t="shared" si="7"/>
        <v>0</v>
      </c>
      <c r="G36" s="94">
        <v>0</v>
      </c>
      <c r="H36" s="94">
        <f t="shared" si="8"/>
        <v>51.597222222222193</v>
      </c>
      <c r="I36" s="94">
        <f t="shared" si="2"/>
        <v>4.6296296296296298</v>
      </c>
      <c r="J36" s="94"/>
      <c r="K36" s="94"/>
      <c r="L36" s="94"/>
      <c r="M36" s="95">
        <f t="shared" si="3"/>
        <v>51.597222222222193</v>
      </c>
      <c r="N36" s="94">
        <f t="shared" si="4"/>
        <v>555.55555555555475</v>
      </c>
    </row>
    <row r="37" spans="1:14">
      <c r="A37" s="92">
        <v>17</v>
      </c>
      <c r="B37" s="93">
        <f t="shared" si="5"/>
        <v>43895</v>
      </c>
      <c r="C37" s="94">
        <f t="shared" si="10"/>
        <v>27.777777777777779</v>
      </c>
      <c r="D37" s="94">
        <f t="shared" si="1"/>
        <v>22.685185185185151</v>
      </c>
      <c r="E37" s="94">
        <f t="shared" si="6"/>
        <v>0</v>
      </c>
      <c r="F37" s="94">
        <f t="shared" si="7"/>
        <v>0</v>
      </c>
      <c r="G37" s="94">
        <v>0</v>
      </c>
      <c r="H37" s="94">
        <f t="shared" si="8"/>
        <v>50.462962962962933</v>
      </c>
      <c r="I37" s="94">
        <f t="shared" si="2"/>
        <v>4.6296296296296298</v>
      </c>
      <c r="J37" s="94"/>
      <c r="K37" s="94"/>
      <c r="L37" s="94"/>
      <c r="M37" s="95">
        <f t="shared" si="3"/>
        <v>50.462962962962933</v>
      </c>
      <c r="N37" s="94">
        <f t="shared" si="4"/>
        <v>527.77777777777692</v>
      </c>
    </row>
    <row r="38" spans="1:14">
      <c r="A38" s="92">
        <v>18</v>
      </c>
      <c r="B38" s="93">
        <f t="shared" si="5"/>
        <v>43926</v>
      </c>
      <c r="C38" s="94">
        <f t="shared" si="10"/>
        <v>27.777777777777779</v>
      </c>
      <c r="D38" s="94">
        <f t="shared" si="1"/>
        <v>21.550925925925892</v>
      </c>
      <c r="E38" s="94">
        <f t="shared" si="6"/>
        <v>0</v>
      </c>
      <c r="F38" s="94">
        <f t="shared" si="7"/>
        <v>0</v>
      </c>
      <c r="G38" s="94">
        <v>0</v>
      </c>
      <c r="H38" s="94">
        <f t="shared" si="8"/>
        <v>49.328703703703667</v>
      </c>
      <c r="I38" s="94">
        <f t="shared" si="2"/>
        <v>4.6296296296296298</v>
      </c>
      <c r="J38" s="94"/>
      <c r="K38" s="94"/>
      <c r="L38" s="94"/>
      <c r="M38" s="95">
        <f t="shared" si="3"/>
        <v>49.328703703703667</v>
      </c>
      <c r="N38" s="94">
        <f t="shared" si="4"/>
        <v>499.99999999999915</v>
      </c>
    </row>
    <row r="39" spans="1:14">
      <c r="A39" s="92">
        <v>19</v>
      </c>
      <c r="B39" s="93">
        <f t="shared" si="5"/>
        <v>43956</v>
      </c>
      <c r="C39" s="94">
        <f t="shared" si="10"/>
        <v>27.777777777777779</v>
      </c>
      <c r="D39" s="94">
        <f t="shared" si="1"/>
        <v>20.416666666666632</v>
      </c>
      <c r="E39" s="94">
        <f t="shared" si="6"/>
        <v>0</v>
      </c>
      <c r="F39" s="94">
        <f t="shared" si="7"/>
        <v>0</v>
      </c>
      <c r="G39" s="94">
        <v>0</v>
      </c>
      <c r="H39" s="94">
        <f t="shared" si="8"/>
        <v>48.194444444444414</v>
      </c>
      <c r="I39" s="94">
        <f t="shared" si="2"/>
        <v>4.6296296296296298</v>
      </c>
      <c r="J39" s="94"/>
      <c r="K39" s="94"/>
      <c r="L39" s="94"/>
      <c r="M39" s="95">
        <f t="shared" si="3"/>
        <v>48.194444444444414</v>
      </c>
      <c r="N39" s="94">
        <f t="shared" si="4"/>
        <v>472.22222222222138</v>
      </c>
    </row>
    <row r="40" spans="1:14">
      <c r="A40" s="92">
        <v>20</v>
      </c>
      <c r="B40" s="93">
        <f t="shared" si="5"/>
        <v>43987</v>
      </c>
      <c r="C40" s="94">
        <f t="shared" si="10"/>
        <v>27.777777777777779</v>
      </c>
      <c r="D40" s="94">
        <f t="shared" si="1"/>
        <v>19.282407407407373</v>
      </c>
      <c r="E40" s="94">
        <f t="shared" si="6"/>
        <v>0</v>
      </c>
      <c r="F40" s="94">
        <f t="shared" si="7"/>
        <v>0</v>
      </c>
      <c r="G40" s="94">
        <v>0</v>
      </c>
      <c r="H40" s="94">
        <f t="shared" si="8"/>
        <v>47.060185185185148</v>
      </c>
      <c r="I40" s="94">
        <f t="shared" si="2"/>
        <v>4.6296296296296298</v>
      </c>
      <c r="J40" s="94"/>
      <c r="K40" s="94"/>
      <c r="L40" s="94"/>
      <c r="M40" s="95">
        <f t="shared" si="3"/>
        <v>47.060185185185148</v>
      </c>
      <c r="N40" s="94">
        <f t="shared" si="4"/>
        <v>444.4444444444436</v>
      </c>
    </row>
    <row r="41" spans="1:14">
      <c r="A41" s="92">
        <v>21</v>
      </c>
      <c r="B41" s="93">
        <f t="shared" si="5"/>
        <v>44017</v>
      </c>
      <c r="C41" s="94">
        <f t="shared" si="10"/>
        <v>27.777777777777779</v>
      </c>
      <c r="D41" s="94">
        <f t="shared" si="1"/>
        <v>18.148148148148113</v>
      </c>
      <c r="E41" s="94">
        <f t="shared" si="6"/>
        <v>0</v>
      </c>
      <c r="F41" s="94">
        <f t="shared" si="7"/>
        <v>0</v>
      </c>
      <c r="G41" s="94">
        <v>0</v>
      </c>
      <c r="H41" s="94">
        <f t="shared" si="8"/>
        <v>45.925925925925895</v>
      </c>
      <c r="I41" s="94">
        <f t="shared" si="2"/>
        <v>4.6296296296296298</v>
      </c>
      <c r="J41" s="94"/>
      <c r="K41" s="94"/>
      <c r="L41" s="94"/>
      <c r="M41" s="95">
        <f t="shared" si="3"/>
        <v>45.925925925925895</v>
      </c>
      <c r="N41" s="94">
        <f t="shared" si="4"/>
        <v>416.66666666666583</v>
      </c>
    </row>
    <row r="42" spans="1:14">
      <c r="A42" s="92">
        <v>22</v>
      </c>
      <c r="B42" s="93">
        <f t="shared" si="5"/>
        <v>44048</v>
      </c>
      <c r="C42" s="94">
        <f t="shared" si="10"/>
        <v>27.777777777777779</v>
      </c>
      <c r="D42" s="94">
        <f t="shared" si="1"/>
        <v>17.013888888888854</v>
      </c>
      <c r="E42" s="94">
        <f t="shared" si="6"/>
        <v>0</v>
      </c>
      <c r="F42" s="94">
        <f t="shared" si="7"/>
        <v>0</v>
      </c>
      <c r="G42" s="94">
        <v>0</v>
      </c>
      <c r="H42" s="94">
        <f t="shared" si="8"/>
        <v>44.791666666666629</v>
      </c>
      <c r="I42" s="94">
        <f t="shared" si="2"/>
        <v>4.6296296296296298</v>
      </c>
      <c r="J42" s="94"/>
      <c r="K42" s="94"/>
      <c r="L42" s="94"/>
      <c r="M42" s="95">
        <f t="shared" si="3"/>
        <v>44.791666666666629</v>
      </c>
      <c r="N42" s="94">
        <f t="shared" si="4"/>
        <v>388.88888888888806</v>
      </c>
    </row>
    <row r="43" spans="1:14">
      <c r="A43" s="92">
        <v>23</v>
      </c>
      <c r="B43" s="93">
        <f t="shared" si="5"/>
        <v>44079</v>
      </c>
      <c r="C43" s="94">
        <f t="shared" si="10"/>
        <v>27.777777777777779</v>
      </c>
      <c r="D43" s="94">
        <f t="shared" si="1"/>
        <v>15.879629629629596</v>
      </c>
      <c r="E43" s="94">
        <f t="shared" si="6"/>
        <v>0</v>
      </c>
      <c r="F43" s="94">
        <f t="shared" si="7"/>
        <v>0</v>
      </c>
      <c r="G43" s="94">
        <v>0</v>
      </c>
      <c r="H43" s="94">
        <f t="shared" si="8"/>
        <v>43.657407407407376</v>
      </c>
      <c r="I43" s="94">
        <f t="shared" si="2"/>
        <v>4.6296296296296298</v>
      </c>
      <c r="J43" s="94"/>
      <c r="K43" s="94"/>
      <c r="L43" s="94"/>
      <c r="M43" s="95">
        <f t="shared" si="3"/>
        <v>43.657407407407376</v>
      </c>
      <c r="N43" s="94">
        <f t="shared" si="4"/>
        <v>361.11111111111029</v>
      </c>
    </row>
    <row r="44" spans="1:14">
      <c r="A44" s="92">
        <v>24</v>
      </c>
      <c r="B44" s="93">
        <f t="shared" si="5"/>
        <v>44109</v>
      </c>
      <c r="C44" s="94">
        <f t="shared" si="10"/>
        <v>27.777777777777779</v>
      </c>
      <c r="D44" s="94">
        <f t="shared" si="1"/>
        <v>14.745370370370336</v>
      </c>
      <c r="E44" s="94">
        <f t="shared" si="6"/>
        <v>0</v>
      </c>
      <c r="F44" s="94">
        <f t="shared" si="7"/>
        <v>0</v>
      </c>
      <c r="G44" s="94">
        <v>0</v>
      </c>
      <c r="H44" s="94">
        <f t="shared" si="8"/>
        <v>42.523148148148117</v>
      </c>
      <c r="I44" s="94">
        <f t="shared" si="2"/>
        <v>4.6296296296296298</v>
      </c>
      <c r="J44" s="94"/>
      <c r="K44" s="94"/>
      <c r="L44" s="94"/>
      <c r="M44" s="95">
        <f t="shared" si="3"/>
        <v>42.523148148148117</v>
      </c>
      <c r="N44" s="94">
        <f t="shared" si="4"/>
        <v>333.33333333333252</v>
      </c>
    </row>
    <row r="45" spans="1:14">
      <c r="A45" s="92">
        <v>25</v>
      </c>
      <c r="B45" s="93">
        <f t="shared" si="5"/>
        <v>44140</v>
      </c>
      <c r="C45" s="94">
        <f t="shared" si="10"/>
        <v>27.777777777777779</v>
      </c>
      <c r="D45" s="94">
        <f t="shared" si="1"/>
        <v>13.611111111111079</v>
      </c>
      <c r="E45" s="94">
        <f t="shared" si="6"/>
        <v>0</v>
      </c>
      <c r="F45" s="94">
        <f t="shared" si="7"/>
        <v>0</v>
      </c>
      <c r="G45" s="94">
        <v>0</v>
      </c>
      <c r="H45" s="94">
        <f t="shared" si="8"/>
        <v>41.388888888888857</v>
      </c>
      <c r="I45" s="94">
        <f t="shared" si="2"/>
        <v>4.6296296296296298</v>
      </c>
      <c r="J45" s="94"/>
      <c r="K45" s="94"/>
      <c r="L45" s="94"/>
      <c r="M45" s="95">
        <f t="shared" si="3"/>
        <v>41.388888888888857</v>
      </c>
      <c r="N45" s="94">
        <f t="shared" si="4"/>
        <v>305.55555555555475</v>
      </c>
    </row>
    <row r="46" spans="1:14">
      <c r="A46" s="92">
        <v>26</v>
      </c>
      <c r="B46" s="93">
        <f t="shared" si="5"/>
        <v>44170</v>
      </c>
      <c r="C46" s="94">
        <f t="shared" si="10"/>
        <v>27.777777777777779</v>
      </c>
      <c r="D46" s="94">
        <f t="shared" si="1"/>
        <v>12.476851851851819</v>
      </c>
      <c r="E46" s="94">
        <f t="shared" si="6"/>
        <v>0</v>
      </c>
      <c r="F46" s="94">
        <f t="shared" si="7"/>
        <v>0</v>
      </c>
      <c r="G46" s="94">
        <v>0</v>
      </c>
      <c r="H46" s="94">
        <f t="shared" si="8"/>
        <v>40.254629629629598</v>
      </c>
      <c r="I46" s="94">
        <f t="shared" si="2"/>
        <v>4.6296296296296298</v>
      </c>
      <c r="J46" s="94"/>
      <c r="K46" s="94"/>
      <c r="L46" s="94"/>
      <c r="M46" s="95">
        <f t="shared" si="3"/>
        <v>40.254629629629598</v>
      </c>
      <c r="N46" s="94">
        <f t="shared" si="4"/>
        <v>277.77777777777698</v>
      </c>
    </row>
    <row r="47" spans="1:14">
      <c r="A47" s="92">
        <v>27</v>
      </c>
      <c r="B47" s="93">
        <f t="shared" si="5"/>
        <v>44201</v>
      </c>
      <c r="C47" s="94">
        <f t="shared" si="10"/>
        <v>27.777777777777779</v>
      </c>
      <c r="D47" s="94">
        <f t="shared" si="1"/>
        <v>11.34259259259256</v>
      </c>
      <c r="E47" s="94">
        <f t="shared" si="6"/>
        <v>0</v>
      </c>
      <c r="F47" s="94">
        <f t="shared" si="7"/>
        <v>0</v>
      </c>
      <c r="G47" s="94">
        <v>0</v>
      </c>
      <c r="H47" s="94">
        <f t="shared" si="8"/>
        <v>39.120370370370338</v>
      </c>
      <c r="I47" s="94">
        <f t="shared" si="2"/>
        <v>4.6296296296296298</v>
      </c>
      <c r="J47" s="94"/>
      <c r="K47" s="94"/>
      <c r="L47" s="94"/>
      <c r="M47" s="95">
        <f t="shared" si="3"/>
        <v>39.120370370370338</v>
      </c>
      <c r="N47" s="94">
        <f t="shared" si="4"/>
        <v>249.9999999999992</v>
      </c>
    </row>
    <row r="48" spans="1:14">
      <c r="A48" s="92">
        <v>28</v>
      </c>
      <c r="B48" s="93">
        <f t="shared" si="5"/>
        <v>44232</v>
      </c>
      <c r="C48" s="94">
        <f t="shared" si="10"/>
        <v>27.777777777777779</v>
      </c>
      <c r="D48" s="94">
        <f t="shared" si="1"/>
        <v>10.2083333333333</v>
      </c>
      <c r="E48" s="94">
        <f t="shared" si="6"/>
        <v>0</v>
      </c>
      <c r="F48" s="94">
        <f t="shared" si="7"/>
        <v>0</v>
      </c>
      <c r="G48" s="94">
        <v>0</v>
      </c>
      <c r="H48" s="94">
        <f t="shared" si="8"/>
        <v>37.986111111111079</v>
      </c>
      <c r="I48" s="94">
        <f t="shared" si="2"/>
        <v>4.6296296296296298</v>
      </c>
      <c r="J48" s="94"/>
      <c r="K48" s="94"/>
      <c r="L48" s="94"/>
      <c r="M48" s="95">
        <f t="shared" si="3"/>
        <v>37.986111111111079</v>
      </c>
      <c r="N48" s="94">
        <f t="shared" si="4"/>
        <v>222.22222222222143</v>
      </c>
    </row>
    <row r="49" spans="1:14">
      <c r="A49" s="92">
        <v>29</v>
      </c>
      <c r="B49" s="93">
        <f t="shared" si="5"/>
        <v>44260</v>
      </c>
      <c r="C49" s="94">
        <f t="shared" si="10"/>
        <v>27.777777777777779</v>
      </c>
      <c r="D49" s="94">
        <f t="shared" si="1"/>
        <v>9.0740740740740424</v>
      </c>
      <c r="E49" s="94">
        <f t="shared" si="6"/>
        <v>0</v>
      </c>
      <c r="F49" s="94">
        <f t="shared" si="7"/>
        <v>0</v>
      </c>
      <c r="G49" s="94">
        <v>0</v>
      </c>
      <c r="H49" s="94">
        <f t="shared" si="8"/>
        <v>36.851851851851819</v>
      </c>
      <c r="I49" s="94">
        <f t="shared" si="2"/>
        <v>4.6296296296296298</v>
      </c>
      <c r="J49" s="94"/>
      <c r="K49" s="94"/>
      <c r="L49" s="94"/>
      <c r="M49" s="95">
        <f t="shared" si="3"/>
        <v>36.851851851851819</v>
      </c>
      <c r="N49" s="94">
        <f t="shared" si="4"/>
        <v>194.44444444444366</v>
      </c>
    </row>
    <row r="50" spans="1:14">
      <c r="A50" s="92">
        <v>30</v>
      </c>
      <c r="B50" s="93">
        <f t="shared" si="5"/>
        <v>44291</v>
      </c>
      <c r="C50" s="94">
        <f t="shared" si="10"/>
        <v>27.777777777777779</v>
      </c>
      <c r="D50" s="94">
        <f t="shared" si="1"/>
        <v>7.939814814814782</v>
      </c>
      <c r="E50" s="94">
        <f t="shared" si="6"/>
        <v>0</v>
      </c>
      <c r="F50" s="94">
        <f t="shared" si="7"/>
        <v>0</v>
      </c>
      <c r="G50" s="94">
        <v>0</v>
      </c>
      <c r="H50" s="94">
        <f t="shared" si="8"/>
        <v>35.71759259259256</v>
      </c>
      <c r="I50" s="94">
        <f t="shared" si="2"/>
        <v>4.6296296296296298</v>
      </c>
      <c r="J50" s="94"/>
      <c r="K50" s="94"/>
      <c r="L50" s="94"/>
      <c r="M50" s="95">
        <f t="shared" si="3"/>
        <v>35.71759259259256</v>
      </c>
      <c r="N50" s="94">
        <f t="shared" si="4"/>
        <v>166.66666666666589</v>
      </c>
    </row>
    <row r="51" spans="1:14">
      <c r="A51" s="92">
        <v>31</v>
      </c>
      <c r="B51" s="93">
        <f t="shared" si="5"/>
        <v>44321</v>
      </c>
      <c r="C51" s="94">
        <f t="shared" si="10"/>
        <v>27.777777777777779</v>
      </c>
      <c r="D51" s="94">
        <f t="shared" si="1"/>
        <v>6.8055555555555243</v>
      </c>
      <c r="E51" s="94">
        <f t="shared" si="6"/>
        <v>0</v>
      </c>
      <c r="F51" s="94">
        <f t="shared" si="7"/>
        <v>0</v>
      </c>
      <c r="G51" s="94">
        <v>0</v>
      </c>
      <c r="H51" s="94">
        <f t="shared" si="8"/>
        <v>34.5833333333333</v>
      </c>
      <c r="I51" s="94">
        <f t="shared" si="2"/>
        <v>4.6296296296296298</v>
      </c>
      <c r="J51" s="94"/>
      <c r="K51" s="94"/>
      <c r="L51" s="94"/>
      <c r="M51" s="95">
        <f t="shared" si="3"/>
        <v>34.5833333333333</v>
      </c>
      <c r="N51" s="94">
        <f t="shared" si="4"/>
        <v>138.88888888888812</v>
      </c>
    </row>
    <row r="52" spans="1:14">
      <c r="A52" s="92">
        <v>32</v>
      </c>
      <c r="B52" s="93">
        <f t="shared" si="5"/>
        <v>44352</v>
      </c>
      <c r="C52" s="94">
        <f t="shared" si="10"/>
        <v>27.777777777777779</v>
      </c>
      <c r="D52" s="94">
        <f t="shared" si="1"/>
        <v>5.6712962962962647</v>
      </c>
      <c r="E52" s="94">
        <f t="shared" si="6"/>
        <v>0</v>
      </c>
      <c r="F52" s="94">
        <f t="shared" si="7"/>
        <v>0</v>
      </c>
      <c r="G52" s="94">
        <v>0</v>
      </c>
      <c r="H52" s="94">
        <f t="shared" si="8"/>
        <v>33.449074074074041</v>
      </c>
      <c r="I52" s="94">
        <f t="shared" si="2"/>
        <v>4.6296296296296298</v>
      </c>
      <c r="J52" s="94"/>
      <c r="K52" s="94"/>
      <c r="L52" s="94"/>
      <c r="M52" s="95">
        <f t="shared" si="3"/>
        <v>33.449074074074041</v>
      </c>
      <c r="N52" s="94">
        <f t="shared" si="4"/>
        <v>111.11111111111035</v>
      </c>
    </row>
    <row r="53" spans="1:14">
      <c r="A53" s="92">
        <v>33</v>
      </c>
      <c r="B53" s="93">
        <f t="shared" si="5"/>
        <v>44382</v>
      </c>
      <c r="C53" s="94">
        <f t="shared" si="10"/>
        <v>27.777777777777779</v>
      </c>
      <c r="D53" s="94">
        <f t="shared" si="1"/>
        <v>4.5370370370370052</v>
      </c>
      <c r="E53" s="94">
        <f t="shared" si="6"/>
        <v>0</v>
      </c>
      <c r="F53" s="94">
        <f t="shared" si="7"/>
        <v>0</v>
      </c>
      <c r="G53" s="94">
        <v>0</v>
      </c>
      <c r="H53" s="94">
        <f t="shared" si="8"/>
        <v>32.314814814814781</v>
      </c>
      <c r="I53" s="94">
        <f t="shared" si="2"/>
        <v>4.6296296296296298</v>
      </c>
      <c r="J53" s="94"/>
      <c r="K53" s="94"/>
      <c r="L53" s="94"/>
      <c r="M53" s="95">
        <f t="shared" si="3"/>
        <v>32.314814814814781</v>
      </c>
      <c r="N53" s="94">
        <f t="shared" si="4"/>
        <v>83.333333333332575</v>
      </c>
    </row>
    <row r="54" spans="1:14">
      <c r="A54" s="92">
        <v>34</v>
      </c>
      <c r="B54" s="93">
        <f t="shared" si="5"/>
        <v>44413</v>
      </c>
      <c r="C54" s="94">
        <f t="shared" si="10"/>
        <v>27.777777777777779</v>
      </c>
      <c r="D54" s="94">
        <f t="shared" si="1"/>
        <v>3.4027777777777466</v>
      </c>
      <c r="E54" s="94">
        <f t="shared" si="6"/>
        <v>0</v>
      </c>
      <c r="F54" s="94">
        <f t="shared" si="7"/>
        <v>0</v>
      </c>
      <c r="G54" s="94">
        <v>0</v>
      </c>
      <c r="H54" s="94">
        <f t="shared" si="8"/>
        <v>31.180555555555525</v>
      </c>
      <c r="I54" s="94">
        <f t="shared" si="2"/>
        <v>4.6296296296296298</v>
      </c>
      <c r="J54" s="94"/>
      <c r="K54" s="94"/>
      <c r="L54" s="94"/>
      <c r="M54" s="95">
        <f t="shared" si="3"/>
        <v>31.180555555555525</v>
      </c>
      <c r="N54" s="94">
        <f t="shared" si="4"/>
        <v>55.555555555554797</v>
      </c>
    </row>
    <row r="55" spans="1:14">
      <c r="A55" s="92">
        <v>35</v>
      </c>
      <c r="B55" s="93">
        <f t="shared" si="5"/>
        <v>44444</v>
      </c>
      <c r="C55" s="94">
        <f t="shared" si="10"/>
        <v>27.777777777777779</v>
      </c>
      <c r="D55" s="94">
        <f t="shared" si="1"/>
        <v>2.2685185185184875</v>
      </c>
      <c r="E55" s="94">
        <f t="shared" si="6"/>
        <v>0</v>
      </c>
      <c r="F55" s="94">
        <f t="shared" si="7"/>
        <v>0</v>
      </c>
      <c r="G55" s="94">
        <v>0</v>
      </c>
      <c r="H55" s="94">
        <f t="shared" si="8"/>
        <v>30.046296296296266</v>
      </c>
      <c r="I55" s="94">
        <f t="shared" si="2"/>
        <v>4.6296296296296298</v>
      </c>
      <c r="J55" s="94"/>
      <c r="K55" s="94"/>
      <c r="L55" s="94"/>
      <c r="M55" s="95">
        <f t="shared" si="3"/>
        <v>30.046296296296266</v>
      </c>
      <c r="N55" s="94">
        <f t="shared" si="4"/>
        <v>27.777777777777018</v>
      </c>
    </row>
    <row r="56" spans="1:14">
      <c r="A56" s="92">
        <v>36</v>
      </c>
      <c r="B56" s="93">
        <f t="shared" si="5"/>
        <v>44474</v>
      </c>
      <c r="C56" s="94">
        <f t="shared" si="10"/>
        <v>27.777777777777779</v>
      </c>
      <c r="D56" s="94">
        <f t="shared" si="1"/>
        <v>1.1342592592592282</v>
      </c>
      <c r="E56" s="94">
        <f t="shared" si="6"/>
        <v>0</v>
      </c>
      <c r="F56" s="94">
        <f t="shared" si="7"/>
        <v>0</v>
      </c>
      <c r="G56" s="94">
        <v>0</v>
      </c>
      <c r="H56" s="94">
        <f t="shared" si="8"/>
        <v>28.912037037037006</v>
      </c>
      <c r="I56" s="94">
        <f t="shared" si="2"/>
        <v>4.6296296296296298</v>
      </c>
      <c r="J56" s="94"/>
      <c r="K56" s="94"/>
      <c r="L56" s="94"/>
      <c r="M56" s="95">
        <f t="shared" si="3"/>
        <v>28.912037037037006</v>
      </c>
      <c r="N56" s="94">
        <f>N55-C56</f>
        <v>-7.602807272633072E-13</v>
      </c>
    </row>
    <row r="57" spans="1:14">
      <c r="A57" s="92">
        <v>37</v>
      </c>
      <c r="B57" s="93">
        <f t="shared" si="5"/>
        <v>44505</v>
      </c>
      <c r="C57" s="94">
        <f t="shared" ref="C57:C104" si="11">IF(A57&lt;=$F$7,(IF($F$6&lt;=40%,IF($F$9=$I$6,(-$C$20-$F$5*$K$14)/$F$7+IF(A57=$F$7,$F$5*$K$14,0),MINA(((N56-$F$5*$K$14)/($F$7-A57+1)*$F$10),(N56-$F$5*$K$14))+IF(A57=$F$7,$F$5*$K$14,0)),IF(A57=1,F42*(F43-40%),IF($F$9=$I$6,(-$C$20-$F$5*$K$14)/$F$7+IF(A57=$F$7,$F$5*$K$14,0),MINA(((N56-$F$5*$K$14)/($F$7-A57+1)*$F$10),(N56-$F$5*$K$14))+IF(A57=$F$7,$F$5*$K$14,0))))),0)</f>
        <v>0</v>
      </c>
      <c r="D57" s="94">
        <f t="shared" si="1"/>
        <v>0</v>
      </c>
      <c r="E57" s="94">
        <f t="shared" si="6"/>
        <v>0</v>
      </c>
      <c r="F57" s="94">
        <f t="shared" si="7"/>
        <v>0</v>
      </c>
      <c r="G57" s="94">
        <f t="shared" ref="G57:G104" si="12">IF(A57&lt;=$F$7,$F$5*VLOOKUP(ROUNDUP(A57/12,0),$O$7:$R$14,4,0)/12,0)-F57</f>
        <v>0</v>
      </c>
      <c r="H57" s="94">
        <f t="shared" si="8"/>
        <v>0</v>
      </c>
      <c r="I57" s="94">
        <f t="shared" si="2"/>
        <v>0</v>
      </c>
      <c r="J57" s="94"/>
      <c r="K57" s="94"/>
      <c r="L57" s="94"/>
      <c r="M57" s="95">
        <f t="shared" si="3"/>
        <v>0</v>
      </c>
      <c r="N57" s="94">
        <f t="shared" si="4"/>
        <v>-7.602807272633072E-13</v>
      </c>
    </row>
    <row r="58" spans="1:14">
      <c r="A58" s="92">
        <v>38</v>
      </c>
      <c r="B58" s="93">
        <f t="shared" si="5"/>
        <v>44535</v>
      </c>
      <c r="C58" s="94">
        <f t="shared" si="11"/>
        <v>0</v>
      </c>
      <c r="D58" s="94">
        <f t="shared" si="1"/>
        <v>0</v>
      </c>
      <c r="E58" s="94">
        <f t="shared" si="6"/>
        <v>0</v>
      </c>
      <c r="F58" s="94">
        <f t="shared" si="7"/>
        <v>0</v>
      </c>
      <c r="G58" s="94">
        <f t="shared" si="12"/>
        <v>0</v>
      </c>
      <c r="H58" s="94">
        <f t="shared" si="8"/>
        <v>0</v>
      </c>
      <c r="I58" s="94">
        <f t="shared" si="2"/>
        <v>0</v>
      </c>
      <c r="J58" s="94"/>
      <c r="K58" s="94"/>
      <c r="L58" s="94"/>
      <c r="M58" s="95">
        <f t="shared" si="3"/>
        <v>0</v>
      </c>
      <c r="N58" s="94">
        <f t="shared" si="4"/>
        <v>-7.602807272633072E-13</v>
      </c>
    </row>
    <row r="59" spans="1:14">
      <c r="A59" s="92">
        <v>39</v>
      </c>
      <c r="B59" s="93">
        <f t="shared" si="5"/>
        <v>44566</v>
      </c>
      <c r="C59" s="94">
        <f t="shared" si="11"/>
        <v>0</v>
      </c>
      <c r="D59" s="94">
        <f t="shared" si="1"/>
        <v>0</v>
      </c>
      <c r="E59" s="94">
        <f t="shared" si="6"/>
        <v>0</v>
      </c>
      <c r="F59" s="94">
        <f t="shared" si="7"/>
        <v>0</v>
      </c>
      <c r="G59" s="94">
        <f t="shared" si="12"/>
        <v>0</v>
      </c>
      <c r="H59" s="94">
        <f t="shared" si="8"/>
        <v>0</v>
      </c>
      <c r="I59" s="94">
        <f t="shared" si="2"/>
        <v>0</v>
      </c>
      <c r="J59" s="94"/>
      <c r="K59" s="94"/>
      <c r="L59" s="94"/>
      <c r="M59" s="95">
        <f t="shared" si="3"/>
        <v>0</v>
      </c>
      <c r="N59" s="94">
        <f t="shared" si="4"/>
        <v>-7.602807272633072E-13</v>
      </c>
    </row>
    <row r="60" spans="1:14">
      <c r="A60" s="92">
        <v>40</v>
      </c>
      <c r="B60" s="93">
        <f t="shared" si="5"/>
        <v>44597</v>
      </c>
      <c r="C60" s="94">
        <f t="shared" si="11"/>
        <v>0</v>
      </c>
      <c r="D60" s="94">
        <f t="shared" si="1"/>
        <v>0</v>
      </c>
      <c r="E60" s="94">
        <f t="shared" si="6"/>
        <v>0</v>
      </c>
      <c r="F60" s="94">
        <f t="shared" si="7"/>
        <v>0</v>
      </c>
      <c r="G60" s="94">
        <f t="shared" si="12"/>
        <v>0</v>
      </c>
      <c r="H60" s="94">
        <f t="shared" si="8"/>
        <v>0</v>
      </c>
      <c r="I60" s="94">
        <f t="shared" si="2"/>
        <v>0</v>
      </c>
      <c r="J60" s="94"/>
      <c r="K60" s="94"/>
      <c r="L60" s="94"/>
      <c r="M60" s="95">
        <f t="shared" si="3"/>
        <v>0</v>
      </c>
      <c r="N60" s="94">
        <f t="shared" si="4"/>
        <v>-7.602807272633072E-13</v>
      </c>
    </row>
    <row r="61" spans="1:14">
      <c r="A61" s="92">
        <v>41</v>
      </c>
      <c r="B61" s="93">
        <f t="shared" si="5"/>
        <v>44625</v>
      </c>
      <c r="C61" s="94">
        <f t="shared" si="11"/>
        <v>0</v>
      </c>
      <c r="D61" s="94">
        <f t="shared" si="1"/>
        <v>0</v>
      </c>
      <c r="E61" s="94">
        <f t="shared" si="6"/>
        <v>0</v>
      </c>
      <c r="F61" s="94">
        <f t="shared" si="7"/>
        <v>0</v>
      </c>
      <c r="G61" s="94">
        <f t="shared" si="12"/>
        <v>0</v>
      </c>
      <c r="H61" s="94">
        <f t="shared" si="8"/>
        <v>0</v>
      </c>
      <c r="I61" s="94">
        <f t="shared" si="2"/>
        <v>0</v>
      </c>
      <c r="J61" s="94"/>
      <c r="K61" s="94"/>
      <c r="L61" s="94"/>
      <c r="M61" s="95">
        <f t="shared" si="3"/>
        <v>0</v>
      </c>
      <c r="N61" s="94">
        <f t="shared" si="4"/>
        <v>-7.602807272633072E-13</v>
      </c>
    </row>
    <row r="62" spans="1:14">
      <c r="A62" s="92">
        <v>42</v>
      </c>
      <c r="B62" s="93">
        <f t="shared" si="5"/>
        <v>44656</v>
      </c>
      <c r="C62" s="94">
        <f t="shared" si="11"/>
        <v>0</v>
      </c>
      <c r="D62" s="94">
        <f t="shared" si="1"/>
        <v>0</v>
      </c>
      <c r="E62" s="94">
        <f t="shared" si="6"/>
        <v>0</v>
      </c>
      <c r="F62" s="94">
        <f t="shared" si="7"/>
        <v>0</v>
      </c>
      <c r="G62" s="94">
        <f t="shared" si="12"/>
        <v>0</v>
      </c>
      <c r="H62" s="94">
        <f t="shared" si="8"/>
        <v>0</v>
      </c>
      <c r="I62" s="94">
        <f t="shared" si="2"/>
        <v>0</v>
      </c>
      <c r="J62" s="94"/>
      <c r="K62" s="94"/>
      <c r="L62" s="94"/>
      <c r="M62" s="95">
        <f t="shared" si="3"/>
        <v>0</v>
      </c>
      <c r="N62" s="94">
        <f t="shared" si="4"/>
        <v>-7.602807272633072E-13</v>
      </c>
    </row>
    <row r="63" spans="1:14">
      <c r="A63" s="92">
        <v>43</v>
      </c>
      <c r="B63" s="93">
        <f t="shared" si="5"/>
        <v>44686</v>
      </c>
      <c r="C63" s="94">
        <f t="shared" si="11"/>
        <v>0</v>
      </c>
      <c r="D63" s="94">
        <f t="shared" si="1"/>
        <v>0</v>
      </c>
      <c r="E63" s="94">
        <f t="shared" si="6"/>
        <v>0</v>
      </c>
      <c r="F63" s="94">
        <f t="shared" si="7"/>
        <v>0</v>
      </c>
      <c r="G63" s="94">
        <f t="shared" si="12"/>
        <v>0</v>
      </c>
      <c r="H63" s="94">
        <f t="shared" si="8"/>
        <v>0</v>
      </c>
      <c r="I63" s="94">
        <f t="shared" si="2"/>
        <v>0</v>
      </c>
      <c r="J63" s="94"/>
      <c r="K63" s="94"/>
      <c r="L63" s="94"/>
      <c r="M63" s="95">
        <f t="shared" si="3"/>
        <v>0</v>
      </c>
      <c r="N63" s="94">
        <f t="shared" si="4"/>
        <v>-7.602807272633072E-13</v>
      </c>
    </row>
    <row r="64" spans="1:14">
      <c r="A64" s="92">
        <v>44</v>
      </c>
      <c r="B64" s="93">
        <f t="shared" si="5"/>
        <v>44717</v>
      </c>
      <c r="C64" s="94">
        <f t="shared" si="11"/>
        <v>0</v>
      </c>
      <c r="D64" s="94">
        <f t="shared" si="1"/>
        <v>0</v>
      </c>
      <c r="E64" s="94">
        <f t="shared" si="6"/>
        <v>0</v>
      </c>
      <c r="F64" s="94">
        <f t="shared" si="7"/>
        <v>0</v>
      </c>
      <c r="G64" s="94">
        <f t="shared" si="12"/>
        <v>0</v>
      </c>
      <c r="H64" s="94">
        <f t="shared" si="8"/>
        <v>0</v>
      </c>
      <c r="I64" s="94">
        <f t="shared" si="2"/>
        <v>0</v>
      </c>
      <c r="J64" s="94"/>
      <c r="K64" s="94"/>
      <c r="L64" s="94"/>
      <c r="M64" s="95">
        <f t="shared" si="3"/>
        <v>0</v>
      </c>
      <c r="N64" s="94">
        <f t="shared" si="4"/>
        <v>-7.602807272633072E-13</v>
      </c>
    </row>
    <row r="65" spans="1:14">
      <c r="A65" s="92">
        <v>45</v>
      </c>
      <c r="B65" s="93">
        <f t="shared" si="5"/>
        <v>44747</v>
      </c>
      <c r="C65" s="94">
        <f t="shared" si="11"/>
        <v>0</v>
      </c>
      <c r="D65" s="94">
        <f t="shared" si="1"/>
        <v>0</v>
      </c>
      <c r="E65" s="94">
        <f t="shared" si="6"/>
        <v>0</v>
      </c>
      <c r="F65" s="94">
        <f t="shared" si="7"/>
        <v>0</v>
      </c>
      <c r="G65" s="94">
        <f t="shared" si="12"/>
        <v>0</v>
      </c>
      <c r="H65" s="94">
        <f t="shared" si="8"/>
        <v>0</v>
      </c>
      <c r="I65" s="94">
        <f t="shared" si="2"/>
        <v>0</v>
      </c>
      <c r="J65" s="94"/>
      <c r="K65" s="94"/>
      <c r="L65" s="94"/>
      <c r="M65" s="95">
        <f t="shared" si="3"/>
        <v>0</v>
      </c>
      <c r="N65" s="94">
        <f t="shared" si="4"/>
        <v>-7.602807272633072E-13</v>
      </c>
    </row>
    <row r="66" spans="1:14">
      <c r="A66" s="92">
        <v>46</v>
      </c>
      <c r="B66" s="93">
        <f t="shared" si="5"/>
        <v>44778</v>
      </c>
      <c r="C66" s="94">
        <f t="shared" si="11"/>
        <v>0</v>
      </c>
      <c r="D66" s="94">
        <f t="shared" si="1"/>
        <v>0</v>
      </c>
      <c r="E66" s="94">
        <f t="shared" si="6"/>
        <v>0</v>
      </c>
      <c r="F66" s="94">
        <f t="shared" si="7"/>
        <v>0</v>
      </c>
      <c r="G66" s="94">
        <f t="shared" si="12"/>
        <v>0</v>
      </c>
      <c r="H66" s="94">
        <f t="shared" si="8"/>
        <v>0</v>
      </c>
      <c r="I66" s="94">
        <f t="shared" si="2"/>
        <v>0</v>
      </c>
      <c r="J66" s="94"/>
      <c r="K66" s="94"/>
      <c r="L66" s="94"/>
      <c r="M66" s="95">
        <f t="shared" si="3"/>
        <v>0</v>
      </c>
      <c r="N66" s="94">
        <f t="shared" si="4"/>
        <v>-7.602807272633072E-13</v>
      </c>
    </row>
    <row r="67" spans="1:14">
      <c r="A67" s="92">
        <v>47</v>
      </c>
      <c r="B67" s="93">
        <f t="shared" si="5"/>
        <v>44809</v>
      </c>
      <c r="C67" s="94">
        <f t="shared" si="11"/>
        <v>0</v>
      </c>
      <c r="D67" s="94">
        <f t="shared" si="1"/>
        <v>0</v>
      </c>
      <c r="E67" s="94">
        <f t="shared" si="6"/>
        <v>0</v>
      </c>
      <c r="F67" s="94">
        <f t="shared" si="7"/>
        <v>0</v>
      </c>
      <c r="G67" s="94">
        <f t="shared" si="12"/>
        <v>0</v>
      </c>
      <c r="H67" s="94">
        <f t="shared" si="8"/>
        <v>0</v>
      </c>
      <c r="I67" s="94">
        <f t="shared" si="2"/>
        <v>0</v>
      </c>
      <c r="J67" s="94"/>
      <c r="K67" s="94"/>
      <c r="L67" s="94"/>
      <c r="M67" s="95">
        <f t="shared" si="3"/>
        <v>0</v>
      </c>
      <c r="N67" s="94">
        <f t="shared" si="4"/>
        <v>-7.602807272633072E-13</v>
      </c>
    </row>
    <row r="68" spans="1:14">
      <c r="A68" s="92">
        <v>48</v>
      </c>
      <c r="B68" s="93">
        <f t="shared" si="5"/>
        <v>44839</v>
      </c>
      <c r="C68" s="94">
        <f t="shared" si="11"/>
        <v>0</v>
      </c>
      <c r="D68" s="94">
        <f t="shared" si="1"/>
        <v>0</v>
      </c>
      <c r="E68" s="94">
        <f t="shared" si="6"/>
        <v>0</v>
      </c>
      <c r="F68" s="94">
        <f t="shared" si="7"/>
        <v>0</v>
      </c>
      <c r="G68" s="94">
        <f t="shared" si="12"/>
        <v>0</v>
      </c>
      <c r="H68" s="94">
        <f t="shared" si="8"/>
        <v>0</v>
      </c>
      <c r="I68" s="94">
        <f t="shared" si="2"/>
        <v>0</v>
      </c>
      <c r="J68" s="94"/>
      <c r="K68" s="94"/>
      <c r="L68" s="94"/>
      <c r="M68" s="95">
        <f t="shared" si="3"/>
        <v>0</v>
      </c>
      <c r="N68" s="94">
        <f t="shared" si="4"/>
        <v>-7.602807272633072E-13</v>
      </c>
    </row>
    <row r="69" spans="1:14">
      <c r="A69" s="92">
        <v>49</v>
      </c>
      <c r="B69" s="93">
        <f t="shared" si="5"/>
        <v>44870</v>
      </c>
      <c r="C69" s="94">
        <f t="shared" si="11"/>
        <v>0</v>
      </c>
      <c r="D69" s="94">
        <f t="shared" si="1"/>
        <v>0</v>
      </c>
      <c r="E69" s="94">
        <f t="shared" si="6"/>
        <v>0</v>
      </c>
      <c r="F69" s="94">
        <f t="shared" si="7"/>
        <v>0</v>
      </c>
      <c r="G69" s="94">
        <f t="shared" si="12"/>
        <v>0</v>
      </c>
      <c r="H69" s="94">
        <f t="shared" si="8"/>
        <v>0</v>
      </c>
      <c r="I69" s="94">
        <f t="shared" si="2"/>
        <v>0</v>
      </c>
      <c r="J69" s="94"/>
      <c r="K69" s="94"/>
      <c r="L69" s="94"/>
      <c r="M69" s="95">
        <f t="shared" si="3"/>
        <v>0</v>
      </c>
      <c r="N69" s="94">
        <f t="shared" si="4"/>
        <v>-7.602807272633072E-13</v>
      </c>
    </row>
    <row r="70" spans="1:14">
      <c r="A70" s="92">
        <v>50</v>
      </c>
      <c r="B70" s="93">
        <f t="shared" si="5"/>
        <v>44900</v>
      </c>
      <c r="C70" s="94">
        <f t="shared" si="11"/>
        <v>0</v>
      </c>
      <c r="D70" s="94">
        <f t="shared" si="1"/>
        <v>0</v>
      </c>
      <c r="E70" s="94">
        <f t="shared" si="6"/>
        <v>0</v>
      </c>
      <c r="F70" s="94">
        <f t="shared" si="7"/>
        <v>0</v>
      </c>
      <c r="G70" s="94">
        <f t="shared" si="12"/>
        <v>0</v>
      </c>
      <c r="H70" s="94">
        <f t="shared" si="8"/>
        <v>0</v>
      </c>
      <c r="I70" s="94">
        <f t="shared" si="2"/>
        <v>0</v>
      </c>
      <c r="J70" s="94"/>
      <c r="K70" s="94"/>
      <c r="L70" s="94"/>
      <c r="M70" s="95">
        <f t="shared" si="3"/>
        <v>0</v>
      </c>
      <c r="N70" s="94">
        <f t="shared" si="4"/>
        <v>-7.602807272633072E-13</v>
      </c>
    </row>
    <row r="71" spans="1:14">
      <c r="A71" s="92">
        <v>51</v>
      </c>
      <c r="B71" s="93">
        <f t="shared" si="5"/>
        <v>44931</v>
      </c>
      <c r="C71" s="94">
        <f t="shared" si="11"/>
        <v>0</v>
      </c>
      <c r="D71" s="94">
        <f t="shared" si="1"/>
        <v>0</v>
      </c>
      <c r="E71" s="94">
        <f t="shared" si="6"/>
        <v>0</v>
      </c>
      <c r="F71" s="94">
        <f t="shared" si="7"/>
        <v>0</v>
      </c>
      <c r="G71" s="94">
        <f t="shared" si="12"/>
        <v>0</v>
      </c>
      <c r="H71" s="94">
        <f t="shared" si="8"/>
        <v>0</v>
      </c>
      <c r="I71" s="94">
        <f t="shared" si="2"/>
        <v>0</v>
      </c>
      <c r="J71" s="94"/>
      <c r="K71" s="94"/>
      <c r="L71" s="94"/>
      <c r="M71" s="95">
        <f t="shared" si="3"/>
        <v>0</v>
      </c>
      <c r="N71" s="94">
        <f t="shared" si="4"/>
        <v>-7.602807272633072E-13</v>
      </c>
    </row>
    <row r="72" spans="1:14">
      <c r="A72" s="92">
        <v>52</v>
      </c>
      <c r="B72" s="93">
        <f t="shared" si="5"/>
        <v>44962</v>
      </c>
      <c r="C72" s="94">
        <f t="shared" si="11"/>
        <v>0</v>
      </c>
      <c r="D72" s="94">
        <f t="shared" si="1"/>
        <v>0</v>
      </c>
      <c r="E72" s="94">
        <f t="shared" si="6"/>
        <v>0</v>
      </c>
      <c r="F72" s="94">
        <f t="shared" si="7"/>
        <v>0</v>
      </c>
      <c r="G72" s="94">
        <f t="shared" si="12"/>
        <v>0</v>
      </c>
      <c r="H72" s="94">
        <f t="shared" si="8"/>
        <v>0</v>
      </c>
      <c r="I72" s="94">
        <f t="shared" si="2"/>
        <v>0</v>
      </c>
      <c r="J72" s="94"/>
      <c r="K72" s="94"/>
      <c r="L72" s="94">
        <v>0</v>
      </c>
      <c r="M72" s="95">
        <f t="shared" si="3"/>
        <v>0</v>
      </c>
      <c r="N72" s="94">
        <f t="shared" si="4"/>
        <v>-7.602807272633072E-13</v>
      </c>
    </row>
    <row r="73" spans="1:14">
      <c r="A73" s="92">
        <v>53</v>
      </c>
      <c r="B73" s="93">
        <f t="shared" si="5"/>
        <v>44990</v>
      </c>
      <c r="C73" s="94">
        <f t="shared" si="11"/>
        <v>0</v>
      </c>
      <c r="D73" s="94">
        <f t="shared" si="1"/>
        <v>0</v>
      </c>
      <c r="E73" s="94">
        <f t="shared" si="6"/>
        <v>0</v>
      </c>
      <c r="F73" s="94">
        <f t="shared" si="7"/>
        <v>0</v>
      </c>
      <c r="G73" s="94">
        <f t="shared" si="12"/>
        <v>0</v>
      </c>
      <c r="H73" s="94">
        <f t="shared" si="8"/>
        <v>0</v>
      </c>
      <c r="I73" s="94">
        <f t="shared" si="2"/>
        <v>0</v>
      </c>
      <c r="J73" s="94"/>
      <c r="K73" s="94"/>
      <c r="L73" s="94"/>
      <c r="M73" s="95">
        <f t="shared" si="3"/>
        <v>0</v>
      </c>
      <c r="N73" s="94">
        <f t="shared" si="4"/>
        <v>-7.602807272633072E-13</v>
      </c>
    </row>
    <row r="74" spans="1:14">
      <c r="A74" s="92">
        <v>54</v>
      </c>
      <c r="B74" s="93">
        <f t="shared" si="5"/>
        <v>45021</v>
      </c>
      <c r="C74" s="94">
        <f t="shared" si="11"/>
        <v>0</v>
      </c>
      <c r="D74" s="94">
        <f t="shared" si="1"/>
        <v>0</v>
      </c>
      <c r="E74" s="94">
        <f t="shared" si="6"/>
        <v>0</v>
      </c>
      <c r="F74" s="94">
        <f t="shared" si="7"/>
        <v>0</v>
      </c>
      <c r="G74" s="94">
        <f t="shared" si="12"/>
        <v>0</v>
      </c>
      <c r="H74" s="94">
        <f t="shared" si="8"/>
        <v>0</v>
      </c>
      <c r="I74" s="94">
        <f t="shared" si="2"/>
        <v>0</v>
      </c>
      <c r="J74" s="94"/>
      <c r="K74" s="94"/>
      <c r="L74" s="94"/>
      <c r="M74" s="95">
        <f t="shared" si="3"/>
        <v>0</v>
      </c>
      <c r="N74" s="94">
        <f t="shared" si="4"/>
        <v>-7.602807272633072E-13</v>
      </c>
    </row>
    <row r="75" spans="1:14">
      <c r="A75" s="92">
        <v>55</v>
      </c>
      <c r="B75" s="93">
        <f t="shared" si="5"/>
        <v>45051</v>
      </c>
      <c r="C75" s="94">
        <f t="shared" si="11"/>
        <v>0</v>
      </c>
      <c r="D75" s="94">
        <f t="shared" si="1"/>
        <v>0</v>
      </c>
      <c r="E75" s="94">
        <f t="shared" si="6"/>
        <v>0</v>
      </c>
      <c r="F75" s="94">
        <f t="shared" si="7"/>
        <v>0</v>
      </c>
      <c r="G75" s="94">
        <f t="shared" si="12"/>
        <v>0</v>
      </c>
      <c r="H75" s="94">
        <f t="shared" si="8"/>
        <v>0</v>
      </c>
      <c r="I75" s="94">
        <f t="shared" si="2"/>
        <v>0</v>
      </c>
      <c r="J75" s="94"/>
      <c r="K75" s="94"/>
      <c r="L75" s="94"/>
      <c r="M75" s="95">
        <f t="shared" si="3"/>
        <v>0</v>
      </c>
      <c r="N75" s="94">
        <f t="shared" si="4"/>
        <v>-7.602807272633072E-13</v>
      </c>
    </row>
    <row r="76" spans="1:14">
      <c r="A76" s="92">
        <v>56</v>
      </c>
      <c r="B76" s="93">
        <f t="shared" si="5"/>
        <v>45082</v>
      </c>
      <c r="C76" s="94">
        <f t="shared" si="11"/>
        <v>0</v>
      </c>
      <c r="D76" s="94">
        <f t="shared" si="1"/>
        <v>0</v>
      </c>
      <c r="E76" s="94">
        <f t="shared" si="6"/>
        <v>0</v>
      </c>
      <c r="F76" s="94">
        <f t="shared" si="7"/>
        <v>0</v>
      </c>
      <c r="G76" s="94">
        <f t="shared" si="12"/>
        <v>0</v>
      </c>
      <c r="H76" s="94">
        <f t="shared" si="8"/>
        <v>0</v>
      </c>
      <c r="I76" s="94">
        <f t="shared" si="2"/>
        <v>0</v>
      </c>
      <c r="J76" s="94"/>
      <c r="K76" s="94"/>
      <c r="L76" s="94"/>
      <c r="M76" s="95">
        <f t="shared" si="3"/>
        <v>0</v>
      </c>
      <c r="N76" s="94">
        <f t="shared" si="4"/>
        <v>-7.602807272633072E-13</v>
      </c>
    </row>
    <row r="77" spans="1:14">
      <c r="A77" s="92">
        <v>57</v>
      </c>
      <c r="B77" s="93">
        <f t="shared" si="5"/>
        <v>45112</v>
      </c>
      <c r="C77" s="94">
        <f t="shared" si="11"/>
        <v>0</v>
      </c>
      <c r="D77" s="94">
        <f t="shared" si="1"/>
        <v>0</v>
      </c>
      <c r="E77" s="94">
        <f t="shared" si="6"/>
        <v>0</v>
      </c>
      <c r="F77" s="94">
        <f t="shared" si="7"/>
        <v>0</v>
      </c>
      <c r="G77" s="94">
        <f t="shared" si="12"/>
        <v>0</v>
      </c>
      <c r="H77" s="94">
        <f t="shared" si="8"/>
        <v>0</v>
      </c>
      <c r="I77" s="94">
        <f t="shared" si="2"/>
        <v>0</v>
      </c>
      <c r="J77" s="94"/>
      <c r="K77" s="94"/>
      <c r="L77" s="94"/>
      <c r="M77" s="95">
        <f t="shared" si="3"/>
        <v>0</v>
      </c>
      <c r="N77" s="94">
        <f t="shared" si="4"/>
        <v>-7.602807272633072E-13</v>
      </c>
    </row>
    <row r="78" spans="1:14">
      <c r="A78" s="92">
        <v>58</v>
      </c>
      <c r="B78" s="93">
        <f t="shared" si="5"/>
        <v>45143</v>
      </c>
      <c r="C78" s="94">
        <f t="shared" si="11"/>
        <v>0</v>
      </c>
      <c r="D78" s="94">
        <f t="shared" si="1"/>
        <v>0</v>
      </c>
      <c r="E78" s="94">
        <f t="shared" si="6"/>
        <v>0</v>
      </c>
      <c r="F78" s="94">
        <f t="shared" si="7"/>
        <v>0</v>
      </c>
      <c r="G78" s="94">
        <f t="shared" si="12"/>
        <v>0</v>
      </c>
      <c r="H78" s="94">
        <f t="shared" si="8"/>
        <v>0</v>
      </c>
      <c r="I78" s="94">
        <f t="shared" si="2"/>
        <v>0</v>
      </c>
      <c r="J78" s="94"/>
      <c r="K78" s="94"/>
      <c r="L78" s="94"/>
      <c r="M78" s="95">
        <f t="shared" si="3"/>
        <v>0</v>
      </c>
      <c r="N78" s="94">
        <f t="shared" si="4"/>
        <v>-7.602807272633072E-13</v>
      </c>
    </row>
    <row r="79" spans="1:14">
      <c r="A79" s="92">
        <v>59</v>
      </c>
      <c r="B79" s="93">
        <f t="shared" si="5"/>
        <v>45174</v>
      </c>
      <c r="C79" s="94">
        <f t="shared" si="11"/>
        <v>0</v>
      </c>
      <c r="D79" s="94">
        <f t="shared" si="1"/>
        <v>0</v>
      </c>
      <c r="E79" s="94">
        <f t="shared" si="6"/>
        <v>0</v>
      </c>
      <c r="F79" s="94">
        <f t="shared" si="7"/>
        <v>0</v>
      </c>
      <c r="G79" s="94">
        <f t="shared" si="12"/>
        <v>0</v>
      </c>
      <c r="H79" s="94">
        <f t="shared" si="8"/>
        <v>0</v>
      </c>
      <c r="I79" s="94">
        <f t="shared" si="2"/>
        <v>0</v>
      </c>
      <c r="J79" s="94"/>
      <c r="K79" s="94"/>
      <c r="L79" s="94"/>
      <c r="M79" s="95">
        <f t="shared" si="3"/>
        <v>0</v>
      </c>
      <c r="N79" s="94">
        <f t="shared" si="4"/>
        <v>-7.602807272633072E-13</v>
      </c>
    </row>
    <row r="80" spans="1:14">
      <c r="A80" s="92">
        <v>60</v>
      </c>
      <c r="B80" s="93">
        <f t="shared" si="5"/>
        <v>45204</v>
      </c>
      <c r="C80" s="94">
        <f t="shared" si="11"/>
        <v>0</v>
      </c>
      <c r="D80" s="94">
        <f t="shared" si="1"/>
        <v>0</v>
      </c>
      <c r="E80" s="94">
        <f t="shared" si="6"/>
        <v>0</v>
      </c>
      <c r="F80" s="94">
        <f t="shared" si="7"/>
        <v>0</v>
      </c>
      <c r="G80" s="94">
        <f t="shared" si="12"/>
        <v>0</v>
      </c>
      <c r="H80" s="94">
        <f t="shared" si="8"/>
        <v>0</v>
      </c>
      <c r="I80" s="94">
        <f t="shared" si="2"/>
        <v>0</v>
      </c>
      <c r="J80" s="94"/>
      <c r="K80" s="94"/>
      <c r="L80" s="94"/>
      <c r="M80" s="95">
        <f t="shared" si="3"/>
        <v>0</v>
      </c>
      <c r="N80" s="94">
        <f t="shared" si="4"/>
        <v>-7.602807272633072E-13</v>
      </c>
    </row>
    <row r="81" spans="1:14">
      <c r="A81" s="92">
        <v>61</v>
      </c>
      <c r="B81" s="93">
        <f t="shared" si="5"/>
        <v>45235</v>
      </c>
      <c r="C81" s="94">
        <f t="shared" si="11"/>
        <v>0</v>
      </c>
      <c r="D81" s="94">
        <f t="shared" si="1"/>
        <v>0</v>
      </c>
      <c r="E81" s="94">
        <f t="shared" si="6"/>
        <v>0</v>
      </c>
      <c r="F81" s="94">
        <f t="shared" si="7"/>
        <v>0</v>
      </c>
      <c r="G81" s="94">
        <f t="shared" si="12"/>
        <v>0</v>
      </c>
      <c r="H81" s="94">
        <f t="shared" si="8"/>
        <v>0</v>
      </c>
      <c r="I81" s="94">
        <f t="shared" si="2"/>
        <v>0</v>
      </c>
      <c r="J81" s="94"/>
      <c r="K81" s="94"/>
      <c r="L81" s="94"/>
      <c r="M81" s="95">
        <f t="shared" si="3"/>
        <v>0</v>
      </c>
      <c r="N81" s="94">
        <f t="shared" si="4"/>
        <v>-7.602807272633072E-13</v>
      </c>
    </row>
    <row r="82" spans="1:14">
      <c r="A82" s="92">
        <v>62</v>
      </c>
      <c r="B82" s="93">
        <f t="shared" si="5"/>
        <v>45265</v>
      </c>
      <c r="C82" s="94">
        <f t="shared" si="11"/>
        <v>0</v>
      </c>
      <c r="D82" s="94">
        <f t="shared" si="1"/>
        <v>0</v>
      </c>
      <c r="E82" s="94">
        <f t="shared" si="6"/>
        <v>0</v>
      </c>
      <c r="F82" s="94">
        <f t="shared" si="7"/>
        <v>0</v>
      </c>
      <c r="G82" s="94">
        <f t="shared" si="12"/>
        <v>0</v>
      </c>
      <c r="H82" s="94">
        <f t="shared" si="8"/>
        <v>0</v>
      </c>
      <c r="I82" s="94">
        <f t="shared" si="2"/>
        <v>0</v>
      </c>
      <c r="J82" s="94"/>
      <c r="K82" s="94"/>
      <c r="L82" s="94"/>
      <c r="M82" s="95">
        <f t="shared" si="3"/>
        <v>0</v>
      </c>
      <c r="N82" s="94">
        <f t="shared" si="4"/>
        <v>-7.602807272633072E-13</v>
      </c>
    </row>
    <row r="83" spans="1:14">
      <c r="A83" s="92">
        <v>63</v>
      </c>
      <c r="B83" s="93">
        <f t="shared" si="5"/>
        <v>45296</v>
      </c>
      <c r="C83" s="94">
        <f t="shared" si="11"/>
        <v>0</v>
      </c>
      <c r="D83" s="94">
        <f t="shared" si="1"/>
        <v>0</v>
      </c>
      <c r="E83" s="94">
        <f t="shared" si="6"/>
        <v>0</v>
      </c>
      <c r="F83" s="94">
        <f t="shared" si="7"/>
        <v>0</v>
      </c>
      <c r="G83" s="94">
        <f t="shared" si="12"/>
        <v>0</v>
      </c>
      <c r="H83" s="94">
        <f t="shared" si="8"/>
        <v>0</v>
      </c>
      <c r="I83" s="94">
        <f t="shared" si="2"/>
        <v>0</v>
      </c>
      <c r="J83" s="94"/>
      <c r="K83" s="94"/>
      <c r="L83" s="94"/>
      <c r="M83" s="95">
        <f t="shared" si="3"/>
        <v>0</v>
      </c>
      <c r="N83" s="94">
        <f t="shared" si="4"/>
        <v>-7.602807272633072E-13</v>
      </c>
    </row>
    <row r="84" spans="1:14">
      <c r="A84" s="92">
        <v>64</v>
      </c>
      <c r="B84" s="93">
        <f t="shared" si="5"/>
        <v>45327</v>
      </c>
      <c r="C84" s="94">
        <f t="shared" si="11"/>
        <v>0</v>
      </c>
      <c r="D84" s="94">
        <f t="shared" si="1"/>
        <v>0</v>
      </c>
      <c r="E84" s="94">
        <f t="shared" si="6"/>
        <v>0</v>
      </c>
      <c r="F84" s="94">
        <f t="shared" si="7"/>
        <v>0</v>
      </c>
      <c r="G84" s="94">
        <f t="shared" si="12"/>
        <v>0</v>
      </c>
      <c r="H84" s="94">
        <f t="shared" si="8"/>
        <v>0</v>
      </c>
      <c r="I84" s="94">
        <f t="shared" si="2"/>
        <v>0</v>
      </c>
      <c r="J84" s="94"/>
      <c r="K84" s="94"/>
      <c r="L84" s="94"/>
      <c r="M84" s="95">
        <f t="shared" si="3"/>
        <v>0</v>
      </c>
      <c r="N84" s="94">
        <f t="shared" si="4"/>
        <v>-7.602807272633072E-13</v>
      </c>
    </row>
    <row r="85" spans="1:14">
      <c r="A85" s="92">
        <v>65</v>
      </c>
      <c r="B85" s="93">
        <f t="shared" si="5"/>
        <v>45356</v>
      </c>
      <c r="C85" s="94">
        <f t="shared" si="11"/>
        <v>0</v>
      </c>
      <c r="D85" s="94">
        <f t="shared" ref="D85:D104" si="13">IF(A85&lt;=$F$7,IF($F$12=$I$9,$F$5*$F$13,N84*$F$14/12),0)+-IF(AND(A85&lt;=$M$9,$M$9&lt;&gt;0),$J$20/$M$9,0)+-IF(AND(A85&lt;=$M$10,$M$10&lt;&gt;0),$K$20/$M$10,0)</f>
        <v>0</v>
      </c>
      <c r="E85" s="94">
        <f t="shared" si="6"/>
        <v>0</v>
      </c>
      <c r="F85" s="94">
        <f t="shared" si="7"/>
        <v>0</v>
      </c>
      <c r="G85" s="94">
        <f t="shared" si="12"/>
        <v>0</v>
      </c>
      <c r="H85" s="94">
        <f t="shared" si="8"/>
        <v>0</v>
      </c>
      <c r="I85" s="94">
        <f t="shared" ref="I85:I104" si="14">C85*20/120</f>
        <v>0</v>
      </c>
      <c r="J85" s="94"/>
      <c r="K85" s="94"/>
      <c r="L85" s="94"/>
      <c r="M85" s="95">
        <f t="shared" ref="M85:M104" si="15">SUM(C85,D85,G85,J85,K85,L85)</f>
        <v>0</v>
      </c>
      <c r="N85" s="94">
        <f t="shared" ref="N85:N104" si="16">N84-C85</f>
        <v>-7.602807272633072E-13</v>
      </c>
    </row>
    <row r="86" spans="1:14">
      <c r="A86" s="92">
        <v>66</v>
      </c>
      <c r="B86" s="93">
        <f t="shared" ref="B86:B104" si="17">EOMONTH(B85,0)+DAY(B85)</f>
        <v>45387</v>
      </c>
      <c r="C86" s="94">
        <f t="shared" si="11"/>
        <v>0</v>
      </c>
      <c r="D86" s="94">
        <f t="shared" si="13"/>
        <v>0</v>
      </c>
      <c r="E86" s="94">
        <f t="shared" ref="E86:E94" si="18">IF($R$17="ЮЛ",D86*0.2,0)</f>
        <v>0</v>
      </c>
      <c r="F86" s="94">
        <f t="shared" ref="F86:F94" si="19">IF(AND(A86&lt;=$F$7,$S$17="ДА"),($F$5*VLOOKUP(ROUNDUP(A86/12,0),$O$7:$Q$14,3,0)/12),0)</f>
        <v>0</v>
      </c>
      <c r="G86" s="94">
        <f t="shared" si="12"/>
        <v>0</v>
      </c>
      <c r="H86" s="94">
        <f t="shared" ref="H86:H104" si="20">SUM(C86:G86)+SUM(C86:G86)*$F$15</f>
        <v>0</v>
      </c>
      <c r="I86" s="94">
        <f t="shared" si="14"/>
        <v>0</v>
      </c>
      <c r="J86" s="94"/>
      <c r="K86" s="94"/>
      <c r="L86" s="94"/>
      <c r="M86" s="95">
        <f t="shared" si="15"/>
        <v>0</v>
      </c>
      <c r="N86" s="94">
        <f t="shared" si="16"/>
        <v>-7.602807272633072E-13</v>
      </c>
    </row>
    <row r="87" spans="1:14">
      <c r="A87" s="92">
        <v>67</v>
      </c>
      <c r="B87" s="93">
        <f t="shared" si="17"/>
        <v>45417</v>
      </c>
      <c r="C87" s="94">
        <f t="shared" si="11"/>
        <v>0</v>
      </c>
      <c r="D87" s="94">
        <f t="shared" si="13"/>
        <v>0</v>
      </c>
      <c r="E87" s="94">
        <f t="shared" si="18"/>
        <v>0</v>
      </c>
      <c r="F87" s="94">
        <f t="shared" si="19"/>
        <v>0</v>
      </c>
      <c r="G87" s="94">
        <f t="shared" si="12"/>
        <v>0</v>
      </c>
      <c r="H87" s="94">
        <f t="shared" si="20"/>
        <v>0</v>
      </c>
      <c r="I87" s="94">
        <f t="shared" si="14"/>
        <v>0</v>
      </c>
      <c r="J87" s="94"/>
      <c r="K87" s="94"/>
      <c r="L87" s="94"/>
      <c r="M87" s="95">
        <f t="shared" si="15"/>
        <v>0</v>
      </c>
      <c r="N87" s="94">
        <f t="shared" si="16"/>
        <v>-7.602807272633072E-13</v>
      </c>
    </row>
    <row r="88" spans="1:14">
      <c r="A88" s="92">
        <v>68</v>
      </c>
      <c r="B88" s="93">
        <f t="shared" si="17"/>
        <v>45448</v>
      </c>
      <c r="C88" s="94">
        <f t="shared" si="11"/>
        <v>0</v>
      </c>
      <c r="D88" s="94">
        <f t="shared" si="13"/>
        <v>0</v>
      </c>
      <c r="E88" s="94">
        <f t="shared" si="18"/>
        <v>0</v>
      </c>
      <c r="F88" s="94">
        <f t="shared" si="19"/>
        <v>0</v>
      </c>
      <c r="G88" s="94">
        <f t="shared" si="12"/>
        <v>0</v>
      </c>
      <c r="H88" s="94">
        <f t="shared" si="20"/>
        <v>0</v>
      </c>
      <c r="I88" s="94">
        <f t="shared" si="14"/>
        <v>0</v>
      </c>
      <c r="J88" s="94"/>
      <c r="K88" s="94"/>
      <c r="L88" s="94"/>
      <c r="M88" s="95">
        <f t="shared" si="15"/>
        <v>0</v>
      </c>
      <c r="N88" s="94">
        <f t="shared" si="16"/>
        <v>-7.602807272633072E-13</v>
      </c>
    </row>
    <row r="89" spans="1:14">
      <c r="A89" s="92">
        <v>69</v>
      </c>
      <c r="B89" s="93">
        <f t="shared" si="17"/>
        <v>45478</v>
      </c>
      <c r="C89" s="94">
        <f t="shared" si="11"/>
        <v>0</v>
      </c>
      <c r="D89" s="94">
        <f t="shared" si="13"/>
        <v>0</v>
      </c>
      <c r="E89" s="94">
        <f t="shared" si="18"/>
        <v>0</v>
      </c>
      <c r="F89" s="94">
        <f t="shared" si="19"/>
        <v>0</v>
      </c>
      <c r="G89" s="94">
        <f t="shared" si="12"/>
        <v>0</v>
      </c>
      <c r="H89" s="94">
        <f t="shared" si="20"/>
        <v>0</v>
      </c>
      <c r="I89" s="94">
        <f t="shared" si="14"/>
        <v>0</v>
      </c>
      <c r="J89" s="94"/>
      <c r="K89" s="94"/>
      <c r="L89" s="94"/>
      <c r="M89" s="95">
        <f t="shared" si="15"/>
        <v>0</v>
      </c>
      <c r="N89" s="94">
        <f t="shared" si="16"/>
        <v>-7.602807272633072E-13</v>
      </c>
    </row>
    <row r="90" spans="1:14">
      <c r="A90" s="92">
        <v>70</v>
      </c>
      <c r="B90" s="93">
        <f t="shared" si="17"/>
        <v>45509</v>
      </c>
      <c r="C90" s="94">
        <f t="shared" si="11"/>
        <v>0</v>
      </c>
      <c r="D90" s="94">
        <f t="shared" si="13"/>
        <v>0</v>
      </c>
      <c r="E90" s="94">
        <f t="shared" si="18"/>
        <v>0</v>
      </c>
      <c r="F90" s="94">
        <f t="shared" si="19"/>
        <v>0</v>
      </c>
      <c r="G90" s="94">
        <f t="shared" si="12"/>
        <v>0</v>
      </c>
      <c r="H90" s="94">
        <f t="shared" si="20"/>
        <v>0</v>
      </c>
      <c r="I90" s="94">
        <f t="shared" si="14"/>
        <v>0</v>
      </c>
      <c r="J90" s="94"/>
      <c r="K90" s="94"/>
      <c r="L90" s="94"/>
      <c r="M90" s="95">
        <f t="shared" si="15"/>
        <v>0</v>
      </c>
      <c r="N90" s="94">
        <f t="shared" si="16"/>
        <v>-7.602807272633072E-13</v>
      </c>
    </row>
    <row r="91" spans="1:14">
      <c r="A91" s="92">
        <v>71</v>
      </c>
      <c r="B91" s="93">
        <f t="shared" si="17"/>
        <v>45540</v>
      </c>
      <c r="C91" s="94">
        <f t="shared" si="11"/>
        <v>0</v>
      </c>
      <c r="D91" s="94">
        <f t="shared" si="13"/>
        <v>0</v>
      </c>
      <c r="E91" s="94">
        <f t="shared" si="18"/>
        <v>0</v>
      </c>
      <c r="F91" s="94">
        <f t="shared" si="19"/>
        <v>0</v>
      </c>
      <c r="G91" s="94">
        <f t="shared" si="12"/>
        <v>0</v>
      </c>
      <c r="H91" s="94">
        <f t="shared" si="20"/>
        <v>0</v>
      </c>
      <c r="I91" s="94">
        <f t="shared" si="14"/>
        <v>0</v>
      </c>
      <c r="J91" s="94"/>
      <c r="K91" s="94"/>
      <c r="L91" s="94"/>
      <c r="M91" s="95">
        <f t="shared" si="15"/>
        <v>0</v>
      </c>
      <c r="N91" s="94">
        <f t="shared" si="16"/>
        <v>-7.602807272633072E-13</v>
      </c>
    </row>
    <row r="92" spans="1:14">
      <c r="A92" s="92">
        <v>72</v>
      </c>
      <c r="B92" s="93">
        <f t="shared" si="17"/>
        <v>45570</v>
      </c>
      <c r="C92" s="94">
        <f t="shared" si="11"/>
        <v>0</v>
      </c>
      <c r="D92" s="94">
        <f t="shared" si="13"/>
        <v>0</v>
      </c>
      <c r="E92" s="94">
        <f t="shared" si="18"/>
        <v>0</v>
      </c>
      <c r="F92" s="94">
        <f t="shared" si="19"/>
        <v>0</v>
      </c>
      <c r="G92" s="94">
        <f t="shared" si="12"/>
        <v>0</v>
      </c>
      <c r="H92" s="94">
        <f t="shared" si="20"/>
        <v>0</v>
      </c>
      <c r="I92" s="94">
        <f t="shared" si="14"/>
        <v>0</v>
      </c>
      <c r="J92" s="94"/>
      <c r="K92" s="94"/>
      <c r="L92" s="94"/>
      <c r="M92" s="95">
        <f t="shared" si="15"/>
        <v>0</v>
      </c>
      <c r="N92" s="94">
        <f t="shared" si="16"/>
        <v>-7.602807272633072E-13</v>
      </c>
    </row>
    <row r="93" spans="1:14">
      <c r="A93" s="92">
        <v>73</v>
      </c>
      <c r="B93" s="93">
        <f t="shared" si="17"/>
        <v>45601</v>
      </c>
      <c r="C93" s="94">
        <f t="shared" si="11"/>
        <v>0</v>
      </c>
      <c r="D93" s="94">
        <f t="shared" si="13"/>
        <v>0</v>
      </c>
      <c r="E93" s="94">
        <f t="shared" si="18"/>
        <v>0</v>
      </c>
      <c r="F93" s="94">
        <f t="shared" si="19"/>
        <v>0</v>
      </c>
      <c r="G93" s="94">
        <f t="shared" si="12"/>
        <v>0</v>
      </c>
      <c r="H93" s="94">
        <f t="shared" si="20"/>
        <v>0</v>
      </c>
      <c r="I93" s="94">
        <f t="shared" si="14"/>
        <v>0</v>
      </c>
      <c r="J93" s="94"/>
      <c r="K93" s="94"/>
      <c r="L93" s="94"/>
      <c r="M93" s="95">
        <f t="shared" si="15"/>
        <v>0</v>
      </c>
      <c r="N93" s="94">
        <f t="shared" si="16"/>
        <v>-7.602807272633072E-13</v>
      </c>
    </row>
    <row r="94" spans="1:14">
      <c r="A94" s="92">
        <v>74</v>
      </c>
      <c r="B94" s="93">
        <f t="shared" si="17"/>
        <v>45631</v>
      </c>
      <c r="C94" s="94">
        <f t="shared" si="11"/>
        <v>0</v>
      </c>
      <c r="D94" s="94">
        <f t="shared" si="13"/>
        <v>0</v>
      </c>
      <c r="E94" s="94">
        <f t="shared" si="18"/>
        <v>0</v>
      </c>
      <c r="F94" s="94">
        <f t="shared" si="19"/>
        <v>0</v>
      </c>
      <c r="G94" s="94">
        <f t="shared" si="12"/>
        <v>0</v>
      </c>
      <c r="H94" s="94">
        <f t="shared" si="20"/>
        <v>0</v>
      </c>
      <c r="I94" s="94">
        <f t="shared" si="14"/>
        <v>0</v>
      </c>
      <c r="J94" s="94"/>
      <c r="K94" s="94"/>
      <c r="L94" s="94"/>
      <c r="M94" s="95">
        <f t="shared" si="15"/>
        <v>0</v>
      </c>
      <c r="N94" s="94">
        <f t="shared" si="16"/>
        <v>-7.602807272633072E-13</v>
      </c>
    </row>
    <row r="95" spans="1:14">
      <c r="A95" s="92">
        <v>75</v>
      </c>
      <c r="B95" s="93">
        <f t="shared" si="17"/>
        <v>45662</v>
      </c>
      <c r="C95" s="94">
        <f t="shared" si="11"/>
        <v>0</v>
      </c>
      <c r="D95" s="94">
        <f t="shared" si="13"/>
        <v>0</v>
      </c>
      <c r="E95" s="94">
        <f t="shared" ref="E95:E104" si="21">D95*0.2</f>
        <v>0</v>
      </c>
      <c r="F95" s="94">
        <f t="shared" ref="F95:F104" si="22">IF(A95&lt;=$F$7,$F$5*VLOOKUP(ROUNDUP(A95/12,0),$O$7:$Q$14,3,0)/12,0)</f>
        <v>0</v>
      </c>
      <c r="G95" s="94">
        <f t="shared" si="12"/>
        <v>0</v>
      </c>
      <c r="H95" s="94">
        <f t="shared" si="20"/>
        <v>0</v>
      </c>
      <c r="I95" s="94">
        <f t="shared" si="14"/>
        <v>0</v>
      </c>
      <c r="J95" s="94"/>
      <c r="K95" s="94"/>
      <c r="L95" s="94"/>
      <c r="M95" s="95">
        <f t="shared" si="15"/>
        <v>0</v>
      </c>
      <c r="N95" s="94">
        <f t="shared" si="16"/>
        <v>-7.602807272633072E-13</v>
      </c>
    </row>
    <row r="96" spans="1:14">
      <c r="A96" s="92">
        <v>76</v>
      </c>
      <c r="B96" s="93">
        <f t="shared" si="17"/>
        <v>45693</v>
      </c>
      <c r="C96" s="94">
        <f t="shared" si="11"/>
        <v>0</v>
      </c>
      <c r="D96" s="94">
        <f t="shared" si="13"/>
        <v>0</v>
      </c>
      <c r="E96" s="94">
        <f t="shared" si="21"/>
        <v>0</v>
      </c>
      <c r="F96" s="94">
        <f t="shared" si="22"/>
        <v>0</v>
      </c>
      <c r="G96" s="94">
        <f t="shared" si="12"/>
        <v>0</v>
      </c>
      <c r="H96" s="94">
        <f t="shared" si="20"/>
        <v>0</v>
      </c>
      <c r="I96" s="94">
        <f t="shared" si="14"/>
        <v>0</v>
      </c>
      <c r="J96" s="94"/>
      <c r="K96" s="94"/>
      <c r="L96" s="94"/>
      <c r="M96" s="95">
        <f t="shared" si="15"/>
        <v>0</v>
      </c>
      <c r="N96" s="94">
        <f t="shared" si="16"/>
        <v>-7.602807272633072E-13</v>
      </c>
    </row>
    <row r="97" spans="1:14">
      <c r="A97" s="92">
        <v>77</v>
      </c>
      <c r="B97" s="93">
        <f t="shared" si="17"/>
        <v>45721</v>
      </c>
      <c r="C97" s="94">
        <f t="shared" si="11"/>
        <v>0</v>
      </c>
      <c r="D97" s="94">
        <f t="shared" si="13"/>
        <v>0</v>
      </c>
      <c r="E97" s="94">
        <f t="shared" si="21"/>
        <v>0</v>
      </c>
      <c r="F97" s="94">
        <f t="shared" si="22"/>
        <v>0</v>
      </c>
      <c r="G97" s="94">
        <f t="shared" si="12"/>
        <v>0</v>
      </c>
      <c r="H97" s="94">
        <f t="shared" si="20"/>
        <v>0</v>
      </c>
      <c r="I97" s="94">
        <f t="shared" si="14"/>
        <v>0</v>
      </c>
      <c r="J97" s="94"/>
      <c r="K97" s="94"/>
      <c r="L97" s="94"/>
      <c r="M97" s="95">
        <f t="shared" si="15"/>
        <v>0</v>
      </c>
      <c r="N97" s="94">
        <f t="shared" si="16"/>
        <v>-7.602807272633072E-13</v>
      </c>
    </row>
    <row r="98" spans="1:14">
      <c r="A98" s="92">
        <v>78</v>
      </c>
      <c r="B98" s="93">
        <f t="shared" si="17"/>
        <v>45752</v>
      </c>
      <c r="C98" s="94">
        <f t="shared" si="11"/>
        <v>0</v>
      </c>
      <c r="D98" s="94">
        <f t="shared" si="13"/>
        <v>0</v>
      </c>
      <c r="E98" s="94">
        <f t="shared" si="21"/>
        <v>0</v>
      </c>
      <c r="F98" s="94">
        <f t="shared" si="22"/>
        <v>0</v>
      </c>
      <c r="G98" s="94">
        <f t="shared" si="12"/>
        <v>0</v>
      </c>
      <c r="H98" s="94">
        <f t="shared" si="20"/>
        <v>0</v>
      </c>
      <c r="I98" s="94">
        <f t="shared" si="14"/>
        <v>0</v>
      </c>
      <c r="J98" s="94"/>
      <c r="K98" s="94"/>
      <c r="L98" s="94"/>
      <c r="M98" s="95">
        <f t="shared" si="15"/>
        <v>0</v>
      </c>
      <c r="N98" s="94">
        <f t="shared" si="16"/>
        <v>-7.602807272633072E-13</v>
      </c>
    </row>
    <row r="99" spans="1:14">
      <c r="A99" s="92">
        <v>79</v>
      </c>
      <c r="B99" s="93">
        <f t="shared" si="17"/>
        <v>45782</v>
      </c>
      <c r="C99" s="94">
        <f t="shared" si="11"/>
        <v>0</v>
      </c>
      <c r="D99" s="94">
        <f t="shared" si="13"/>
        <v>0</v>
      </c>
      <c r="E99" s="94">
        <f t="shared" si="21"/>
        <v>0</v>
      </c>
      <c r="F99" s="94">
        <f t="shared" si="22"/>
        <v>0</v>
      </c>
      <c r="G99" s="94">
        <f t="shared" si="12"/>
        <v>0</v>
      </c>
      <c r="H99" s="94">
        <f t="shared" si="20"/>
        <v>0</v>
      </c>
      <c r="I99" s="94">
        <f t="shared" si="14"/>
        <v>0</v>
      </c>
      <c r="J99" s="94"/>
      <c r="K99" s="94"/>
      <c r="L99" s="94"/>
      <c r="M99" s="95">
        <f t="shared" si="15"/>
        <v>0</v>
      </c>
      <c r="N99" s="94">
        <f t="shared" si="16"/>
        <v>-7.602807272633072E-13</v>
      </c>
    </row>
    <row r="100" spans="1:14">
      <c r="A100" s="92">
        <v>80</v>
      </c>
      <c r="B100" s="93">
        <f t="shared" si="17"/>
        <v>45813</v>
      </c>
      <c r="C100" s="94">
        <f t="shared" si="11"/>
        <v>0</v>
      </c>
      <c r="D100" s="94">
        <f t="shared" si="13"/>
        <v>0</v>
      </c>
      <c r="E100" s="94">
        <f t="shared" si="21"/>
        <v>0</v>
      </c>
      <c r="F100" s="94">
        <f t="shared" si="22"/>
        <v>0</v>
      </c>
      <c r="G100" s="94">
        <f t="shared" si="12"/>
        <v>0</v>
      </c>
      <c r="H100" s="94">
        <f t="shared" si="20"/>
        <v>0</v>
      </c>
      <c r="I100" s="94">
        <f t="shared" si="14"/>
        <v>0</v>
      </c>
      <c r="J100" s="94"/>
      <c r="K100" s="94"/>
      <c r="L100" s="94"/>
      <c r="M100" s="95">
        <f t="shared" si="15"/>
        <v>0</v>
      </c>
      <c r="N100" s="94">
        <f t="shared" si="16"/>
        <v>-7.602807272633072E-13</v>
      </c>
    </row>
    <row r="101" spans="1:14">
      <c r="A101" s="92">
        <v>81</v>
      </c>
      <c r="B101" s="93">
        <f t="shared" si="17"/>
        <v>45843</v>
      </c>
      <c r="C101" s="94">
        <f t="shared" si="11"/>
        <v>0</v>
      </c>
      <c r="D101" s="94">
        <f t="shared" si="13"/>
        <v>0</v>
      </c>
      <c r="E101" s="94">
        <f t="shared" si="21"/>
        <v>0</v>
      </c>
      <c r="F101" s="94">
        <f t="shared" si="22"/>
        <v>0</v>
      </c>
      <c r="G101" s="94">
        <f t="shared" si="12"/>
        <v>0</v>
      </c>
      <c r="H101" s="94">
        <f t="shared" si="20"/>
        <v>0</v>
      </c>
      <c r="I101" s="94">
        <f t="shared" si="14"/>
        <v>0</v>
      </c>
      <c r="J101" s="94"/>
      <c r="K101" s="94"/>
      <c r="L101" s="94"/>
      <c r="M101" s="95">
        <f t="shared" si="15"/>
        <v>0</v>
      </c>
      <c r="N101" s="94">
        <f t="shared" si="16"/>
        <v>-7.602807272633072E-13</v>
      </c>
    </row>
    <row r="102" spans="1:14">
      <c r="A102" s="92">
        <v>82</v>
      </c>
      <c r="B102" s="93">
        <f t="shared" si="17"/>
        <v>45874</v>
      </c>
      <c r="C102" s="94">
        <f t="shared" si="11"/>
        <v>0</v>
      </c>
      <c r="D102" s="94">
        <f t="shared" si="13"/>
        <v>0</v>
      </c>
      <c r="E102" s="94">
        <f t="shared" si="21"/>
        <v>0</v>
      </c>
      <c r="F102" s="94">
        <f t="shared" si="22"/>
        <v>0</v>
      </c>
      <c r="G102" s="94">
        <f t="shared" si="12"/>
        <v>0</v>
      </c>
      <c r="H102" s="94">
        <f t="shared" si="20"/>
        <v>0</v>
      </c>
      <c r="I102" s="94">
        <f t="shared" si="14"/>
        <v>0</v>
      </c>
      <c r="J102" s="94"/>
      <c r="K102" s="94"/>
      <c r="L102" s="94"/>
      <c r="M102" s="95">
        <f t="shared" si="15"/>
        <v>0</v>
      </c>
      <c r="N102" s="94">
        <f t="shared" si="16"/>
        <v>-7.602807272633072E-13</v>
      </c>
    </row>
    <row r="103" spans="1:14">
      <c r="A103" s="92">
        <v>83</v>
      </c>
      <c r="B103" s="93">
        <f t="shared" si="17"/>
        <v>45905</v>
      </c>
      <c r="C103" s="94">
        <f t="shared" si="11"/>
        <v>0</v>
      </c>
      <c r="D103" s="94">
        <f t="shared" si="13"/>
        <v>0</v>
      </c>
      <c r="E103" s="94">
        <f t="shared" si="21"/>
        <v>0</v>
      </c>
      <c r="F103" s="94">
        <f t="shared" si="22"/>
        <v>0</v>
      </c>
      <c r="G103" s="94">
        <f t="shared" si="12"/>
        <v>0</v>
      </c>
      <c r="H103" s="94">
        <f t="shared" si="20"/>
        <v>0</v>
      </c>
      <c r="I103" s="94">
        <f t="shared" si="14"/>
        <v>0</v>
      </c>
      <c r="J103" s="94"/>
      <c r="K103" s="94"/>
      <c r="L103" s="94"/>
      <c r="M103" s="95">
        <f t="shared" si="15"/>
        <v>0</v>
      </c>
      <c r="N103" s="94">
        <f t="shared" si="16"/>
        <v>-7.602807272633072E-13</v>
      </c>
    </row>
    <row r="104" spans="1:14">
      <c r="A104" s="92">
        <v>84</v>
      </c>
      <c r="B104" s="93">
        <f t="shared" si="17"/>
        <v>45935</v>
      </c>
      <c r="C104" s="94">
        <f t="shared" si="11"/>
        <v>0</v>
      </c>
      <c r="D104" s="94">
        <f t="shared" si="13"/>
        <v>0</v>
      </c>
      <c r="E104" s="94">
        <f t="shared" si="21"/>
        <v>0</v>
      </c>
      <c r="F104" s="94">
        <f t="shared" si="22"/>
        <v>0</v>
      </c>
      <c r="G104" s="94">
        <f t="shared" si="12"/>
        <v>0</v>
      </c>
      <c r="H104" s="94">
        <f t="shared" si="20"/>
        <v>0</v>
      </c>
      <c r="I104" s="94">
        <f t="shared" si="14"/>
        <v>0</v>
      </c>
      <c r="J104" s="94"/>
      <c r="K104" s="94"/>
      <c r="L104" s="94"/>
      <c r="M104" s="95">
        <f t="shared" si="15"/>
        <v>0</v>
      </c>
      <c r="N104" s="94">
        <f t="shared" si="16"/>
        <v>-7.602807272633072E-13</v>
      </c>
    </row>
    <row r="106" spans="1:14">
      <c r="B106" s="96"/>
    </row>
    <row r="107" spans="1:14">
      <c r="B107" s="94"/>
    </row>
  </sheetData>
  <sheetProtection formatRows="0" insertColumns="0" selectLockedCells="1" selectUnlockedCells="1"/>
  <conditionalFormatting sqref="I18">
    <cfRule type="cellIs" dxfId="49" priority="6" operator="lessThan">
      <formula>0</formula>
    </cfRule>
    <cfRule type="cellIs" dxfId="48" priority="8" operator="equal">
      <formula>0</formula>
    </cfRule>
    <cfRule type="cellIs" dxfId="47" priority="7" operator="greaterThan">
      <formula>0</formula>
    </cfRule>
  </conditionalFormatting>
  <conditionalFormatting sqref="B18">
    <cfRule type="cellIs" dxfId="46" priority="5" operator="equal">
      <formula>0</formula>
    </cfRule>
    <cfRule type="cellIs" dxfId="45" priority="3" operator="lessThan">
      <formula>0</formula>
    </cfRule>
    <cfRule type="cellIs" dxfId="44" priority="4" operator="greaterThan">
      <formula>0</formula>
    </cfRule>
  </conditionalFormatting>
  <conditionalFormatting sqref="F16">
    <cfRule type="cellIs" dxfId="43" priority="1" operator="lessThan">
      <formula>0.1</formula>
    </cfRule>
    <cfRule type="cellIs" dxfId="42" priority="2" operator="greaterThan">
      <formula>0.18</formula>
    </cfRule>
  </conditionalFormatting>
  <conditionalFormatting sqref="C18">
    <cfRule type="cellIs" dxfId="41" priority="10" operator="greaterThan">
      <formula>0</formula>
    </cfRule>
    <cfRule type="cellIs" dxfId="40" priority="11" operator="equal">
      <formula>0</formula>
    </cfRule>
    <cfRule type="cellIs" dxfId="39" priority="9" operator="lessThan">
      <formula>0</formula>
    </cfRule>
  </conditionalFormatting>
  <dataValidations count="2">
    <dataValidation type="list" allowBlank="1" showInputMessage="1" showErrorMessage="1" sqref="F12" xr:uid="{00000000-0002-0000-0800-000000000000}">
      <formula1>$I$9:$I$10</formula1>
    </dataValidation>
    <dataValidation type="list" allowBlank="1" showInputMessage="1" showErrorMessage="1" sqref="F9" xr:uid="{00000000-0002-0000-0800-000001000000}">
      <formula1>$I$6:$I$7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</vt:i4>
      </vt:variant>
    </vt:vector>
  </HeadingPairs>
  <TitlesOfParts>
    <vt:vector size="23" baseType="lpstr">
      <vt:lpstr>Калькулятор 12-48 мес</vt:lpstr>
      <vt:lpstr>Лист1</vt:lpstr>
      <vt:lpstr>12 мес</vt:lpstr>
      <vt:lpstr>12 мес (аннуитет)</vt:lpstr>
      <vt:lpstr>18 мес</vt:lpstr>
      <vt:lpstr>18 мес (аннуитет)</vt:lpstr>
      <vt:lpstr>24 мес</vt:lpstr>
      <vt:lpstr>24 мес (аннуитет)</vt:lpstr>
      <vt:lpstr>36 мес</vt:lpstr>
      <vt:lpstr>36 мес (аннуитет)</vt:lpstr>
      <vt:lpstr>48 мес </vt:lpstr>
      <vt:lpstr>48 мес  (аннуитет)</vt:lpstr>
      <vt:lpstr>12 мес Убывающий</vt:lpstr>
      <vt:lpstr>12 мес Аннуитет</vt:lpstr>
      <vt:lpstr>18 мес Убывающий</vt:lpstr>
      <vt:lpstr>18 мес Аннуитет</vt:lpstr>
      <vt:lpstr>24 мес Убывающий</vt:lpstr>
      <vt:lpstr>24 мес Аннуитет</vt:lpstr>
      <vt:lpstr>36 мес Убывающий</vt:lpstr>
      <vt:lpstr>36 мес Аннуитет</vt:lpstr>
      <vt:lpstr>Общие данные</vt:lpstr>
      <vt:lpstr>Аннуитет</vt:lpstr>
      <vt:lpstr>'Калькулятор 12-48 мес'!Область_печати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Vitali</cp:lastModifiedBy>
  <dcterms:created xsi:type="dcterms:W3CDTF">2023-01-23T02:46:46Z</dcterms:created>
  <dcterms:modified xsi:type="dcterms:W3CDTF">2025-05-14T13:27:51Z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4bfc165e518a4b84a825b94f2393ef35</vt:lpwstr>
  </property>
</Properties>
</file>